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K\РЕКЛАМА_МАРКЕТИНГ\ТРУБЧАТЫЕ\Прайс и Скидки\"/>
    </mc:Choice>
  </mc:AlternateContent>
  <bookViews>
    <workbookView xWindow="0" yWindow="0" windowWidth="28800" windowHeight="11865"/>
  </bookViews>
  <sheets>
    <sheet name="Цены" sheetId="2" r:id="rId1"/>
    <sheet name="Калькулятор" sheetId="1" r:id="rId2"/>
  </sheets>
  <definedNames>
    <definedName name="_xlnm.Print_Area" localSheetId="1">Калькулятор!$A$1:$N$156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3" i="1" l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K36" i="1" l="1"/>
  <c r="A128" i="1" l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J153" i="1" l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12" i="1"/>
  <c r="J12" i="1"/>
  <c r="J11" i="1"/>
  <c r="I11" i="1"/>
  <c r="K11" i="1"/>
  <c r="K136" i="1"/>
  <c r="K111" i="1"/>
  <c r="K86" i="1"/>
  <c r="K61" i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K139" i="1"/>
  <c r="L139" i="1" s="1"/>
  <c r="K138" i="1"/>
  <c r="L138" i="1" s="1"/>
  <c r="K137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62" i="1"/>
  <c r="K38" i="1"/>
  <c r="K39" i="1"/>
  <c r="K40" i="1"/>
  <c r="K41" i="1"/>
  <c r="K42" i="1"/>
  <c r="K43" i="1"/>
  <c r="K44" i="1"/>
  <c r="K45" i="1"/>
  <c r="K46" i="1"/>
  <c r="K47" i="1"/>
  <c r="L47" i="1" s="1"/>
  <c r="K48" i="1"/>
  <c r="K49" i="1"/>
  <c r="K50" i="1"/>
  <c r="K51" i="1"/>
  <c r="K52" i="1"/>
  <c r="K53" i="1"/>
  <c r="K37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2" i="1"/>
  <c r="M153" i="1" l="1"/>
  <c r="N153" i="1"/>
  <c r="M152" i="1"/>
  <c r="N152" i="1"/>
  <c r="M151" i="1"/>
  <c r="N151" i="1"/>
  <c r="M150" i="1"/>
  <c r="N150" i="1"/>
  <c r="M149" i="1"/>
  <c r="N149" i="1"/>
  <c r="M148" i="1"/>
  <c r="N148" i="1"/>
  <c r="M147" i="1"/>
  <c r="N147" i="1"/>
  <c r="M146" i="1"/>
  <c r="N146" i="1"/>
  <c r="M145" i="1"/>
  <c r="N145" i="1"/>
  <c r="M144" i="1"/>
  <c r="N144" i="1"/>
  <c r="M143" i="1"/>
  <c r="N143" i="1"/>
  <c r="M142" i="1"/>
  <c r="N142" i="1"/>
  <c r="M141" i="1"/>
  <c r="N141" i="1"/>
  <c r="M139" i="1"/>
  <c r="N139" i="1"/>
  <c r="M138" i="1"/>
  <c r="N138" i="1"/>
  <c r="L128" i="1"/>
  <c r="N128" i="1" s="1"/>
  <c r="M128" i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M120" i="1"/>
  <c r="L119" i="1"/>
  <c r="N119" i="1" s="1"/>
  <c r="M119" i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N87" i="1"/>
  <c r="M47" i="1"/>
  <c r="N47" i="1"/>
  <c r="L140" i="1"/>
  <c r="N140" i="1" s="1"/>
  <c r="L11" i="1"/>
  <c r="M11" i="1" s="1"/>
  <c r="L36" i="1"/>
  <c r="L61" i="1"/>
  <c r="L86" i="1"/>
  <c r="M86" i="1" s="1"/>
  <c r="L111" i="1"/>
  <c r="N111" i="1" s="1"/>
  <c r="L112" i="1"/>
  <c r="N112" i="1" s="1"/>
  <c r="L136" i="1"/>
  <c r="N136" i="1" s="1"/>
  <c r="L137" i="1"/>
  <c r="L88" i="1"/>
  <c r="N88" i="1" s="1"/>
  <c r="L89" i="1"/>
  <c r="N89" i="1" s="1"/>
  <c r="L90" i="1"/>
  <c r="N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N96" i="1" s="1"/>
  <c r="L97" i="1"/>
  <c r="N97" i="1" s="1"/>
  <c r="L98" i="1"/>
  <c r="M98" i="1" s="1"/>
  <c r="L99" i="1"/>
  <c r="M99" i="1" s="1"/>
  <c r="L100" i="1"/>
  <c r="N100" i="1" s="1"/>
  <c r="L101" i="1"/>
  <c r="M101" i="1" s="1"/>
  <c r="L102" i="1"/>
  <c r="N102" i="1" s="1"/>
  <c r="L103" i="1"/>
  <c r="N103" i="1" s="1"/>
  <c r="L87" i="1"/>
  <c r="M87" i="1" s="1"/>
  <c r="L13" i="1"/>
  <c r="L14" i="1"/>
  <c r="L15" i="1"/>
  <c r="N15" i="1" s="1"/>
  <c r="L16" i="1"/>
  <c r="N16" i="1" s="1"/>
  <c r="L17" i="1"/>
  <c r="L18" i="1"/>
  <c r="N18" i="1" s="1"/>
  <c r="L19" i="1"/>
  <c r="N19" i="1" s="1"/>
  <c r="L20" i="1"/>
  <c r="L21" i="1"/>
  <c r="L22" i="1"/>
  <c r="N22" i="1" s="1"/>
  <c r="L23" i="1"/>
  <c r="N23" i="1" s="1"/>
  <c r="L24" i="1"/>
  <c r="L25" i="1"/>
  <c r="L26" i="1"/>
  <c r="N26" i="1" s="1"/>
  <c r="L27" i="1"/>
  <c r="N27" i="1" s="1"/>
  <c r="L28" i="1"/>
  <c r="N28" i="1" s="1"/>
  <c r="L38" i="1"/>
  <c r="L39" i="1"/>
  <c r="L40" i="1"/>
  <c r="L41" i="1"/>
  <c r="L42" i="1"/>
  <c r="L43" i="1"/>
  <c r="L44" i="1"/>
  <c r="L45" i="1"/>
  <c r="L46" i="1"/>
  <c r="L48" i="1"/>
  <c r="L49" i="1"/>
  <c r="L50" i="1"/>
  <c r="L51" i="1"/>
  <c r="L52" i="1"/>
  <c r="L53" i="1"/>
  <c r="L37" i="1"/>
  <c r="L78" i="1"/>
  <c r="L73" i="1"/>
  <c r="L72" i="1"/>
  <c r="L71" i="1"/>
  <c r="L67" i="1"/>
  <c r="L66" i="1"/>
  <c r="L63" i="1"/>
  <c r="M122" i="1" l="1"/>
  <c r="M113" i="1"/>
  <c r="M89" i="1"/>
  <c r="M121" i="1"/>
  <c r="N98" i="1"/>
  <c r="N99" i="1"/>
  <c r="M114" i="1"/>
  <c r="M115" i="1"/>
  <c r="M125" i="1"/>
  <c r="M126" i="1"/>
  <c r="M127" i="1"/>
  <c r="M103" i="1"/>
  <c r="M112" i="1"/>
  <c r="M124" i="1"/>
  <c r="M116" i="1"/>
  <c r="N101" i="1"/>
  <c r="M96" i="1"/>
  <c r="M97" i="1"/>
  <c r="M137" i="1"/>
  <c r="N137" i="1"/>
  <c r="M123" i="1"/>
  <c r="M118" i="1"/>
  <c r="M117" i="1"/>
  <c r="M102" i="1"/>
  <c r="M100" i="1"/>
  <c r="N95" i="1"/>
  <c r="N94" i="1"/>
  <c r="N93" i="1"/>
  <c r="N92" i="1"/>
  <c r="N91" i="1"/>
  <c r="M90" i="1"/>
  <c r="M88" i="1"/>
  <c r="N86" i="1"/>
  <c r="M73" i="1"/>
  <c r="N73" i="1"/>
  <c r="M72" i="1"/>
  <c r="N72" i="1"/>
  <c r="M71" i="1"/>
  <c r="N71" i="1"/>
  <c r="M67" i="1"/>
  <c r="N67" i="1"/>
  <c r="M66" i="1"/>
  <c r="N66" i="1"/>
  <c r="M63" i="1"/>
  <c r="N63" i="1"/>
  <c r="M61" i="1"/>
  <c r="N61" i="1"/>
  <c r="M53" i="1"/>
  <c r="N53" i="1"/>
  <c r="M52" i="1"/>
  <c r="N52" i="1"/>
  <c r="M51" i="1"/>
  <c r="N51" i="1"/>
  <c r="M50" i="1"/>
  <c r="N50" i="1"/>
  <c r="M49" i="1"/>
  <c r="N49" i="1"/>
  <c r="M48" i="1"/>
  <c r="N48" i="1"/>
  <c r="M46" i="1"/>
  <c r="N46" i="1"/>
  <c r="M45" i="1"/>
  <c r="N45" i="1"/>
  <c r="M44" i="1"/>
  <c r="N44" i="1"/>
  <c r="M43" i="1"/>
  <c r="N43" i="1"/>
  <c r="M42" i="1"/>
  <c r="N42" i="1"/>
  <c r="M41" i="1"/>
  <c r="N41" i="1"/>
  <c r="M40" i="1"/>
  <c r="N40" i="1"/>
  <c r="M39" i="1"/>
  <c r="N39" i="1"/>
  <c r="M38" i="1"/>
  <c r="N38" i="1"/>
  <c r="M37" i="1"/>
  <c r="N37" i="1"/>
  <c r="M140" i="1"/>
  <c r="M78" i="1"/>
  <c r="N78" i="1"/>
  <c r="M136" i="1"/>
  <c r="M20" i="1"/>
  <c r="N20" i="1"/>
  <c r="M17" i="1"/>
  <c r="N17" i="1"/>
  <c r="M13" i="1"/>
  <c r="N13" i="1"/>
  <c r="M25" i="1"/>
  <c r="N25" i="1"/>
  <c r="M24" i="1"/>
  <c r="N24" i="1"/>
  <c r="M14" i="1"/>
  <c r="N14" i="1"/>
  <c r="M21" i="1"/>
  <c r="N21" i="1"/>
  <c r="M111" i="1"/>
  <c r="M36" i="1"/>
  <c r="N36" i="1"/>
  <c r="N11" i="1"/>
  <c r="M16" i="1"/>
  <c r="M26" i="1"/>
  <c r="M18" i="1"/>
  <c r="M28" i="1"/>
  <c r="L12" i="1"/>
  <c r="M22" i="1"/>
  <c r="M27" i="1"/>
  <c r="M23" i="1"/>
  <c r="M19" i="1"/>
  <c r="M15" i="1"/>
  <c r="L77" i="1"/>
  <c r="L69" i="1"/>
  <c r="L75" i="1"/>
  <c r="L74" i="1"/>
  <c r="L76" i="1"/>
  <c r="L70" i="1"/>
  <c r="L65" i="1"/>
  <c r="L68" i="1"/>
  <c r="L64" i="1"/>
  <c r="L62" i="1"/>
  <c r="M77" i="1" l="1"/>
  <c r="N77" i="1"/>
  <c r="M76" i="1"/>
  <c r="N76" i="1"/>
  <c r="M75" i="1"/>
  <c r="N75" i="1"/>
  <c r="M74" i="1"/>
  <c r="N74" i="1"/>
  <c r="M70" i="1"/>
  <c r="N70" i="1"/>
  <c r="M69" i="1"/>
  <c r="N69" i="1"/>
  <c r="M68" i="1"/>
  <c r="N68" i="1"/>
  <c r="M64" i="1"/>
  <c r="N64" i="1"/>
  <c r="M62" i="1"/>
  <c r="N62" i="1"/>
  <c r="N65" i="1"/>
  <c r="M65" i="1"/>
  <c r="M12" i="1"/>
  <c r="N12" i="1"/>
</calcChain>
</file>

<file path=xl/sharedStrings.xml><?xml version="1.0" encoding="utf-8"?>
<sst xmlns="http://schemas.openxmlformats.org/spreadsheetml/2006/main" count="168" uniqueCount="75">
  <si>
    <t>Стоимость радиатора РРЦ</t>
  </si>
  <si>
    <t>Межосевое расстояние, мм</t>
  </si>
  <si>
    <t>Артикул</t>
  </si>
  <si>
    <t>Стоимость секции РРЦ</t>
  </si>
  <si>
    <r>
      <rPr>
        <b/>
        <sz val="11"/>
        <color theme="1"/>
        <rFont val="Calibri"/>
        <family val="2"/>
        <charset val="204"/>
      </rPr>
      <t xml:space="preserve">↑ </t>
    </r>
    <r>
      <rPr>
        <b/>
        <sz val="11"/>
        <color theme="1"/>
        <rFont val="Calibri"/>
        <family val="2"/>
        <charset val="204"/>
        <scheme val="minor"/>
      </rPr>
      <t>Скидка, %</t>
    </r>
  </si>
  <si>
    <t>Масса нетто, кг</t>
  </si>
  <si>
    <t>Масса нетто секции, кг</t>
  </si>
  <si>
    <t>Номинальный тепловой поток ΔT=70˚C, Вт</t>
  </si>
  <si>
    <t>Номинальный тепловой поток секции ΔT=70˚C, Вт</t>
  </si>
  <si>
    <t>ООО «Системные конвекторы»</t>
  </si>
  <si>
    <t>www.teplofort.pro</t>
  </si>
  <si>
    <t>8-800-222-72-33</t>
  </si>
  <si>
    <t>Габаритная
высота, мм</t>
  </si>
  <si>
    <t>ИТОГО с НДС
( СТАНДАРТ ) *</t>
  </si>
  <si>
    <t>ИТОГО с НДС
( RAL ) **</t>
  </si>
  <si>
    <t>** - ПАЛИТРА RAL K7 Classic</t>
  </si>
  <si>
    <t>ТР 2-трубный радиатор, Боковое Подключение (БП)</t>
  </si>
  <si>
    <t>ТР 3-трубный радиатор, Боковое Подключение (БП)</t>
  </si>
  <si>
    <t>от 2 до 50 секций</t>
  </si>
  <si>
    <t>от 2 до 20 секций</t>
  </si>
  <si>
    <r>
      <t xml:space="preserve">Кол-во секций
</t>
    </r>
    <r>
      <rPr>
        <b/>
        <sz val="11"/>
        <color rgb="FF990033"/>
        <rFont val="Calibri"/>
        <family val="2"/>
        <charset val="204"/>
      </rPr>
      <t>↓</t>
    </r>
    <r>
      <rPr>
        <b/>
        <sz val="11"/>
        <color rgb="FF990033"/>
        <rFont val="Calibri"/>
        <family val="2"/>
        <charset val="204"/>
        <scheme val="minor"/>
      </rPr>
      <t xml:space="preserve"> </t>
    </r>
    <r>
      <rPr>
        <b/>
        <sz val="12"/>
        <color rgb="FF990033"/>
        <rFont val="Arial Narrow"/>
        <family val="2"/>
        <charset val="204"/>
      </rPr>
      <t>УСТАНОВИТЬ</t>
    </r>
    <r>
      <rPr>
        <b/>
        <sz val="11"/>
        <color rgb="FF990033"/>
        <rFont val="Calibri"/>
        <family val="2"/>
        <charset val="204"/>
        <scheme val="minor"/>
      </rPr>
      <t xml:space="preserve"> </t>
    </r>
    <r>
      <rPr>
        <b/>
        <sz val="11"/>
        <color rgb="FF990033"/>
        <rFont val="Calibri"/>
        <family val="2"/>
        <charset val="204"/>
      </rPr>
      <t>↓</t>
    </r>
  </si>
  <si>
    <t>*   - ПАЛИТРА "СТАНДАРТ":    Белый Глянец;    Серый Муар;    Чёрный Муар \ Матт</t>
  </si>
  <si>
    <t>ТР 2-трубный радиатор, Нижнее Подключение (НП), без ТермоВставки (ТВ)</t>
  </si>
  <si>
    <t>ТР 2-трубный радиатор, Нижнее Подключение (НП), с  ТермоВставкой (ТВ)</t>
  </si>
  <si>
    <t>ТР 3-трубный радиатор, Нижнее Подключение (НП), без ТермоВставки (ТВ)</t>
  </si>
  <si>
    <t>ТР 3-трубный радиатор, Нижнее Подключение (НП), с  ТермоВставкой (ТВ)</t>
  </si>
  <si>
    <t>ЦЕНА ОДНОЙ СЕКЦИИ ТРУБЧАТОГО РАДИАТОРА ТЕПЛОФОРТ</t>
  </si>
  <si>
    <t>Габаритная
глубина, мм</t>
  </si>
  <si>
    <t>Номинальный тепловой поток секции, Вт</t>
  </si>
  <si>
    <t>ΔT=70˚C</t>
  </si>
  <si>
    <t>ΔT=60˚C</t>
  </si>
  <si>
    <t>ΔT=50˚C</t>
  </si>
  <si>
    <t>ΔT=40˚C</t>
  </si>
  <si>
    <t>ТР 2030</t>
  </si>
  <si>
    <t>ТР 3030</t>
  </si>
  <si>
    <t>ТР 2037</t>
  </si>
  <si>
    <t>ТР 3037</t>
  </si>
  <si>
    <t>ТР 2040</t>
  </si>
  <si>
    <t>ТР 3040</t>
  </si>
  <si>
    <t>ТР 2050</t>
  </si>
  <si>
    <t>ТР 3050</t>
  </si>
  <si>
    <t>ТР 2057</t>
  </si>
  <si>
    <t>ТР 3057</t>
  </si>
  <si>
    <t>ТР 2060</t>
  </si>
  <si>
    <t>ТР 3060</t>
  </si>
  <si>
    <t>ТР 2070</t>
  </si>
  <si>
    <t>ТР 3070</t>
  </si>
  <si>
    <t>ТР 2080</t>
  </si>
  <si>
    <t>ТР 3080</t>
  </si>
  <si>
    <t>ТР 2090</t>
  </si>
  <si>
    <t>ТР 3090</t>
  </si>
  <si>
    <t>ТР 2100</t>
  </si>
  <si>
    <t>ТР 3100</t>
  </si>
  <si>
    <t>ТР 2110</t>
  </si>
  <si>
    <t>ТР 3110</t>
  </si>
  <si>
    <t>ТР 2120</t>
  </si>
  <si>
    <t>ТР 3120</t>
  </si>
  <si>
    <t>ТР 2130</t>
  </si>
  <si>
    <t>ТР 3130</t>
  </si>
  <si>
    <t>ТР 2140</t>
  </si>
  <si>
    <t>ТР 3140</t>
  </si>
  <si>
    <t>ТР 2150</t>
  </si>
  <si>
    <t>ТР 3150</t>
  </si>
  <si>
    <t>ТР 2160</t>
  </si>
  <si>
    <t>ТР 3160</t>
  </si>
  <si>
    <t>ТР 2170</t>
  </si>
  <si>
    <t>ТР 3170</t>
  </si>
  <si>
    <t>ТР 2180</t>
  </si>
  <si>
    <t>ТР 3180</t>
  </si>
  <si>
    <t>НАЦЕНКА К СТОИМОСТИ РАДИАТОРА:</t>
  </si>
  <si>
    <t>Нижнее Подключение (НП), без ТермоВставки (ТВ) -</t>
  </si>
  <si>
    <t>Нижнее Подключение (НП), с  ТермоВставкой (ТВ) -</t>
  </si>
  <si>
    <t>НАЦЕНКА ЗА ПОКРАСКУ:</t>
  </si>
  <si>
    <r>
      <t xml:space="preserve">Палитра RAL K7 Classic  + </t>
    </r>
    <r>
      <rPr>
        <b/>
        <sz val="14"/>
        <color rgb="FF990033"/>
        <rFont val="Calibri"/>
        <family val="2"/>
        <charset val="204"/>
        <scheme val="minor"/>
      </rPr>
      <t xml:space="preserve"> 15%</t>
    </r>
  </si>
  <si>
    <r>
      <t xml:space="preserve">Палитра "СТАНДАРТ" (Белый Глянец;  Серый Муар;  Чёрный Муар \ Матт)  +  </t>
    </r>
    <r>
      <rPr>
        <b/>
        <sz val="14"/>
        <color rgb="FF990033"/>
        <rFont val="Calibri"/>
        <family val="2"/>
        <charset val="204"/>
        <scheme val="minor"/>
      </rPr>
      <t>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</si>
</sst>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\ &quot;₽&quot;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990033"/>
      <name val="Calibri"/>
      <family val="2"/>
      <charset val="204"/>
      <scheme val="minor"/>
    </font>
    <font>
      <b/>
      <sz val="12"/>
      <color rgb="FF990033"/>
      <name val="Verdana"/>
      <family val="2"/>
      <charset val="204"/>
    </font>
    <font>
      <b/>
      <i/>
      <sz val="18"/>
      <color rgb="FF990033"/>
      <name val="Calibri"/>
      <family val="2"/>
      <charset val="204"/>
      <scheme val="minor"/>
    </font>
    <font>
      <b/>
      <u/>
      <sz val="18"/>
      <color rgb="FF990033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20"/>
      <color rgb="FF58001D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rgb="FF990033"/>
      <name val="Calibri"/>
      <family val="2"/>
      <charset val="204"/>
    </font>
    <font>
      <b/>
      <sz val="11"/>
      <color rgb="FF990033"/>
      <name val="Calibri"/>
      <family val="2"/>
      <charset val="204"/>
      <scheme val="minor"/>
    </font>
    <font>
      <b/>
      <sz val="12"/>
      <color rgb="FF990033"/>
      <name val="Arial Narrow"/>
      <family val="2"/>
      <charset val="204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99003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inden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indent="1"/>
    </xf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4" fontId="0" fillId="3" borderId="0" xfId="0" applyNumberFormat="1" applyFill="1" applyAlignment="1">
      <alignment horizontal="right" inden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 vertical="center" indent="1"/>
    </xf>
    <xf numFmtId="0" fontId="4" fillId="3" borderId="0" xfId="0" applyFont="1" applyFill="1"/>
    <xf numFmtId="4" fontId="4" fillId="3" borderId="0" xfId="0" applyNumberFormat="1" applyFont="1" applyFill="1" applyAlignment="1">
      <alignment horizontal="right" inden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 vertical="center" indent="1"/>
    </xf>
    <xf numFmtId="0" fontId="0" fillId="3" borderId="0" xfId="0" applyFill="1" applyBorder="1"/>
    <xf numFmtId="0" fontId="1" fillId="3" borderId="0" xfId="0" applyFont="1" applyFill="1" applyBorder="1" applyAlignment="1">
      <alignment horizontal="left" vertical="top"/>
    </xf>
    <xf numFmtId="4" fontId="1" fillId="3" borderId="0" xfId="0" applyNumberFormat="1" applyFont="1" applyFill="1" applyBorder="1" applyAlignment="1">
      <alignment horizontal="right" vertical="center" indent="1"/>
    </xf>
    <xf numFmtId="0" fontId="1" fillId="3" borderId="0" xfId="0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 indent="1"/>
    </xf>
    <xf numFmtId="0" fontId="11" fillId="3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right" indent="1"/>
    </xf>
    <xf numFmtId="4" fontId="0" fillId="3" borderId="1" xfId="0" applyNumberFormat="1" applyFill="1" applyBorder="1" applyAlignment="1">
      <alignment horizontal="right" vertical="center" indent="1"/>
    </xf>
    <xf numFmtId="0" fontId="3" fillId="3" borderId="0" xfId="0" applyFont="1" applyFill="1"/>
    <xf numFmtId="0" fontId="1" fillId="3" borderId="0" xfId="0" applyFont="1" applyFill="1" applyBorder="1" applyAlignment="1">
      <alignment vertical="top"/>
    </xf>
    <xf numFmtId="4" fontId="2" fillId="3" borderId="0" xfId="0" applyNumberFormat="1" applyFont="1" applyFill="1" applyBorder="1" applyAlignment="1">
      <alignment horizontal="right" vertical="top" indent="1"/>
    </xf>
    <xf numFmtId="0" fontId="2" fillId="3" borderId="0" xfId="0" applyFont="1" applyFill="1" applyBorder="1" applyAlignment="1">
      <alignment horizontal="center" vertical="top"/>
    </xf>
    <xf numFmtId="4" fontId="0" fillId="3" borderId="0" xfId="0" applyNumberFormat="1" applyFill="1" applyBorder="1" applyAlignment="1">
      <alignment horizontal="right" inden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right" vertical="center" indent="1"/>
    </xf>
    <xf numFmtId="0" fontId="13" fillId="3" borderId="0" xfId="0" applyFont="1" applyFill="1" applyAlignment="1">
      <alignment horizontal="right"/>
    </xf>
    <xf numFmtId="0" fontId="14" fillId="3" borderId="0" xfId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/>
    </xf>
    <xf numFmtId="0" fontId="17" fillId="3" borderId="0" xfId="0" applyFont="1" applyFill="1" applyBorder="1" applyAlignment="1">
      <alignment horizontal="left" vertical="top"/>
    </xf>
    <xf numFmtId="0" fontId="17" fillId="3" borderId="0" xfId="0" applyFont="1" applyFill="1" applyBorder="1" applyAlignment="1">
      <alignment vertical="top"/>
    </xf>
    <xf numFmtId="4" fontId="9" fillId="3" borderId="0" xfId="0" applyNumberFormat="1" applyFont="1" applyFill="1" applyBorder="1" applyAlignment="1">
      <alignment horizontal="right" indent="1"/>
    </xf>
    <xf numFmtId="0" fontId="11" fillId="3" borderId="0" xfId="0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right" indent="1"/>
    </xf>
    <xf numFmtId="4" fontId="0" fillId="3" borderId="0" xfId="0" applyNumberFormat="1" applyFill="1" applyBorder="1" applyAlignment="1">
      <alignment horizontal="right" vertical="center" indent="1"/>
    </xf>
    <xf numFmtId="0" fontId="18" fillId="3" borderId="0" xfId="0" applyFont="1" applyFill="1"/>
    <xf numFmtId="4" fontId="18" fillId="3" borderId="0" xfId="0" applyNumberFormat="1" applyFont="1" applyFill="1" applyAlignment="1">
      <alignment horizontal="right" indent="1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right" vertical="center" indent="1"/>
    </xf>
    <xf numFmtId="0" fontId="19" fillId="3" borderId="0" xfId="0" applyFont="1" applyFill="1"/>
    <xf numFmtId="4" fontId="19" fillId="3" borderId="0" xfId="0" applyNumberFormat="1" applyFont="1" applyFill="1" applyAlignment="1">
      <alignment horizontal="right" indent="1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right" vertical="center" indent="1"/>
    </xf>
    <xf numFmtId="0" fontId="0" fillId="3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7" fillId="3" borderId="0" xfId="0" applyFont="1" applyFill="1"/>
    <xf numFmtId="4" fontId="7" fillId="3" borderId="0" xfId="0" applyNumberFormat="1" applyFont="1" applyFill="1" applyAlignment="1">
      <alignment horizontal="right" indent="1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4" fontId="24" fillId="3" borderId="1" xfId="0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right" vertical="center" indent="1"/>
    </xf>
    <xf numFmtId="0" fontId="7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 indent="1"/>
    </xf>
    <xf numFmtId="0" fontId="6" fillId="3" borderId="0" xfId="0" applyFont="1" applyFill="1"/>
    <xf numFmtId="165" fontId="25" fillId="3" borderId="0" xfId="0" applyNumberFormat="1" applyFont="1" applyFill="1" applyBorder="1" applyAlignment="1">
      <alignment horizontal="left"/>
    </xf>
    <xf numFmtId="49" fontId="25" fillId="3" borderId="0" xfId="0" applyNumberFormat="1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4" fontId="24" fillId="4" borderId="1" xfId="0" applyNumberFormat="1" applyFont="1" applyFill="1" applyBorder="1" applyAlignment="1">
      <alignment horizontal="center" vertical="center"/>
    </xf>
    <xf numFmtId="3" fontId="24" fillId="4" borderId="1" xfId="0" applyNumberFormat="1" applyFont="1" applyFill="1" applyBorder="1" applyAlignment="1">
      <alignment horizontal="center" vertical="center"/>
    </xf>
    <xf numFmtId="165" fontId="23" fillId="4" borderId="1" xfId="0" applyNumberFormat="1" applyFont="1" applyFill="1" applyBorder="1" applyAlignment="1">
      <alignment horizontal="right" vertical="center" indent="1"/>
    </xf>
    <xf numFmtId="165" fontId="26" fillId="3" borderId="0" xfId="0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990033"/>
      <color rgb="FFE8E8E8"/>
      <color rgb="FFEAEAEA"/>
      <color rgb="FF5800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75884</xdr:colOff>
      <xdr:row>1</xdr:row>
      <xdr:rowOff>171451</xdr:rowOff>
    </xdr:from>
    <xdr:to>
      <xdr:col>3</xdr:col>
      <xdr:colOff>365551</xdr:colOff>
      <xdr:row>5</xdr:row>
      <xdr:rowOff>85725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50" t="33152" r="17229" b="33233"/>
        <a:stretch/>
      </xdr:blipFill>
      <xdr:spPr>
        <a:xfrm>
          <a:off x="75884" y="361951"/>
          <a:ext cx="3432917" cy="962024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447676</xdr:colOff>
      <xdr:row>0</xdr:row>
      <xdr:rowOff>76202</xdr:rowOff>
    </xdr:from>
    <xdr:to>
      <xdr:col>10</xdr:col>
      <xdr:colOff>104776</xdr:colOff>
      <xdr:row>7</xdr:row>
      <xdr:rowOff>66675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6" y="76202"/>
          <a:ext cx="1752600" cy="1714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342584</xdr:colOff>
      <xdr:row>1</xdr:row>
      <xdr:rowOff>85725</xdr:rowOff>
    </xdr:from>
    <xdr:to>
      <xdr:col>7</xdr:col>
      <xdr:colOff>257175</xdr:colOff>
      <xdr:row>5</xdr:row>
      <xdr:rowOff>257175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50" t="33152" r="17229" b="33233"/>
        <a:stretch/>
      </xdr:blipFill>
      <xdr:spPr>
        <a:xfrm>
          <a:off x="342584" y="276225"/>
          <a:ext cx="4534216" cy="1219200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457201</xdr:colOff>
      <xdr:row>0</xdr:row>
      <xdr:rowOff>1</xdr:rowOff>
    </xdr:from>
    <xdr:to>
      <xdr:col>13</xdr:col>
      <xdr:colOff>790576</xdr:colOff>
      <xdr:row>7</xdr:row>
      <xdr:rowOff>28576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1" y="1"/>
          <a:ext cx="1752600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teplofort.pr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plofort.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/>
  </sheetViews>
  <sheetFormatPr defaultColWidth="20.7109375" defaultRowHeight="15" x14ac:dyDescent="0.25"/>
  <cols>
    <col min="1" max="1" width="15.7109375" style="76" customWidth="1"/>
    <col min="2" max="4" width="15.7109375" style="62" customWidth="1"/>
    <col min="5" max="10" width="15.7109375" style="63" customWidth="1"/>
    <col min="11" max="16384" width="20.7109375" style="62"/>
  </cols>
  <sheetData>
    <row r="1" spans="1:10" s="12" customFormat="1" x14ac:dyDescent="0.25">
      <c r="D1" s="14"/>
      <c r="E1" s="14"/>
      <c r="F1" s="14"/>
      <c r="G1" s="15"/>
      <c r="H1" s="15"/>
      <c r="I1" s="15"/>
      <c r="J1" s="15"/>
    </row>
    <row r="2" spans="1:10" s="12" customFormat="1" ht="26.25" x14ac:dyDescent="0.4">
      <c r="D2" s="14"/>
      <c r="E2" s="14"/>
      <c r="F2" s="14"/>
      <c r="G2" s="15"/>
      <c r="H2" s="41" t="s">
        <v>9</v>
      </c>
      <c r="I2" s="15"/>
    </row>
    <row r="3" spans="1:10" s="12" customFormat="1" ht="15" customHeight="1" x14ac:dyDescent="0.35">
      <c r="D3" s="14"/>
      <c r="E3" s="14"/>
      <c r="F3" s="14"/>
      <c r="G3" s="15"/>
      <c r="H3" s="39"/>
      <c r="I3" s="15"/>
    </row>
    <row r="4" spans="1:10" s="12" customFormat="1" ht="26.25" x14ac:dyDescent="0.4">
      <c r="D4" s="14"/>
      <c r="E4" s="14"/>
      <c r="F4" s="14"/>
      <c r="G4" s="15"/>
      <c r="H4" s="42" t="s">
        <v>11</v>
      </c>
      <c r="I4" s="15"/>
    </row>
    <row r="5" spans="1:10" s="12" customFormat="1" ht="15" customHeight="1" x14ac:dyDescent="0.35">
      <c r="D5" s="14"/>
      <c r="E5" s="14"/>
      <c r="F5" s="14"/>
      <c r="G5" s="15"/>
      <c r="H5" s="39"/>
      <c r="I5" s="15"/>
    </row>
    <row r="6" spans="1:10" s="12" customFormat="1" ht="23.25" x14ac:dyDescent="0.35">
      <c r="D6" s="14"/>
      <c r="E6" s="14"/>
      <c r="F6" s="14"/>
      <c r="G6" s="15"/>
      <c r="H6" s="40" t="s">
        <v>10</v>
      </c>
      <c r="I6" s="15"/>
    </row>
    <row r="7" spans="1:10" s="12" customFormat="1" ht="15" customHeight="1" x14ac:dyDescent="0.25">
      <c r="D7" s="14"/>
      <c r="E7" s="14"/>
      <c r="F7" s="14"/>
      <c r="G7" s="15"/>
      <c r="H7" s="15"/>
      <c r="I7" s="15"/>
      <c r="J7" s="15"/>
    </row>
    <row r="8" spans="1:10" ht="26.25" x14ac:dyDescent="0.4">
      <c r="A8" s="61" t="s">
        <v>26</v>
      </c>
    </row>
    <row r="9" spans="1:10" x14ac:dyDescent="0.25">
      <c r="A9" s="77" t="s">
        <v>2</v>
      </c>
      <c r="B9" s="77" t="s">
        <v>1</v>
      </c>
      <c r="C9" s="77" t="s">
        <v>12</v>
      </c>
      <c r="D9" s="77" t="s">
        <v>27</v>
      </c>
      <c r="E9" s="78" t="s">
        <v>6</v>
      </c>
      <c r="F9" s="79" t="s">
        <v>28</v>
      </c>
      <c r="G9" s="80"/>
      <c r="H9" s="80"/>
      <c r="I9" s="80"/>
      <c r="J9" s="78" t="s">
        <v>3</v>
      </c>
    </row>
    <row r="10" spans="1:10" x14ac:dyDescent="0.25">
      <c r="A10" s="81"/>
      <c r="B10" s="82"/>
      <c r="C10" s="82"/>
      <c r="D10" s="82"/>
      <c r="E10" s="82"/>
      <c r="F10" s="83" t="s">
        <v>29</v>
      </c>
      <c r="G10" s="83" t="s">
        <v>30</v>
      </c>
      <c r="H10" s="83" t="s">
        <v>31</v>
      </c>
      <c r="I10" s="83" t="s">
        <v>32</v>
      </c>
      <c r="J10" s="82"/>
    </row>
    <row r="11" spans="1:10" ht="18.75" x14ac:dyDescent="0.25">
      <c r="A11" s="64" t="s">
        <v>33</v>
      </c>
      <c r="B11" s="65">
        <v>230</v>
      </c>
      <c r="C11" s="65">
        <v>305</v>
      </c>
      <c r="D11" s="65">
        <v>70</v>
      </c>
      <c r="E11" s="66">
        <v>0.62</v>
      </c>
      <c r="F11" s="67">
        <v>49</v>
      </c>
      <c r="G11" s="67">
        <v>40.112883147699748</v>
      </c>
      <c r="H11" s="67">
        <v>31.658341073222047</v>
      </c>
      <c r="I11" s="67">
        <v>23.696462704147951</v>
      </c>
      <c r="J11" s="68">
        <v>1493.9540000000002</v>
      </c>
    </row>
    <row r="12" spans="1:10" ht="18.75" x14ac:dyDescent="0.25">
      <c r="A12" s="84" t="s">
        <v>34</v>
      </c>
      <c r="B12" s="85">
        <v>230</v>
      </c>
      <c r="C12" s="85">
        <v>305</v>
      </c>
      <c r="D12" s="85">
        <v>100</v>
      </c>
      <c r="E12" s="86">
        <v>0.95</v>
      </c>
      <c r="F12" s="87">
        <v>73</v>
      </c>
      <c r="G12" s="87">
        <v>58.950261980720143</v>
      </c>
      <c r="H12" s="87">
        <v>45.780685902017858</v>
      </c>
      <c r="I12" s="87">
        <v>33.597069345925185</v>
      </c>
      <c r="J12" s="88">
        <v>1781.7800000000002</v>
      </c>
    </row>
    <row r="13" spans="1:10" ht="18.75" x14ac:dyDescent="0.25">
      <c r="A13" s="64" t="s">
        <v>35</v>
      </c>
      <c r="B13" s="65">
        <v>300</v>
      </c>
      <c r="C13" s="65">
        <v>375</v>
      </c>
      <c r="D13" s="65">
        <v>70</v>
      </c>
      <c r="E13" s="66">
        <v>0.7</v>
      </c>
      <c r="F13" s="67">
        <v>55</v>
      </c>
      <c r="G13" s="67">
        <v>45.024664757622162</v>
      </c>
      <c r="H13" s="67">
        <v>35.534872633208423</v>
      </c>
      <c r="I13" s="67">
        <v>26.598070382206885</v>
      </c>
      <c r="J13" s="68">
        <v>1546.8200000000002</v>
      </c>
    </row>
    <row r="14" spans="1:10" ht="18.75" x14ac:dyDescent="0.25">
      <c r="A14" s="84" t="s">
        <v>36</v>
      </c>
      <c r="B14" s="85">
        <v>300</v>
      </c>
      <c r="C14" s="85">
        <v>375</v>
      </c>
      <c r="D14" s="85">
        <v>100</v>
      </c>
      <c r="E14" s="86">
        <v>1.2</v>
      </c>
      <c r="F14" s="87">
        <v>80</v>
      </c>
      <c r="G14" s="87">
        <v>64.603026828186458</v>
      </c>
      <c r="H14" s="87">
        <v>50.170614687142859</v>
      </c>
      <c r="I14" s="87">
        <v>36.818706132520745</v>
      </c>
      <c r="J14" s="88">
        <v>1811.15</v>
      </c>
    </row>
    <row r="15" spans="1:10" ht="18.75" x14ac:dyDescent="0.25">
      <c r="A15" s="64" t="s">
        <v>37</v>
      </c>
      <c r="B15" s="65">
        <v>330</v>
      </c>
      <c r="C15" s="65">
        <v>405</v>
      </c>
      <c r="D15" s="65">
        <v>70</v>
      </c>
      <c r="E15" s="66">
        <v>0.9</v>
      </c>
      <c r="F15" s="67">
        <v>60</v>
      </c>
      <c r="G15" s="67">
        <v>49.117816099224179</v>
      </c>
      <c r="H15" s="67">
        <v>38.765315599863733</v>
      </c>
      <c r="I15" s="67">
        <v>29.01607678058933</v>
      </c>
      <c r="J15" s="68">
        <v>1556.6100000000001</v>
      </c>
    </row>
    <row r="16" spans="1:10" ht="18.75" x14ac:dyDescent="0.25">
      <c r="A16" s="84" t="s">
        <v>38</v>
      </c>
      <c r="B16" s="85">
        <v>330</v>
      </c>
      <c r="C16" s="85">
        <v>405</v>
      </c>
      <c r="D16" s="85">
        <v>100</v>
      </c>
      <c r="E16" s="86">
        <v>1.3</v>
      </c>
      <c r="F16" s="87">
        <v>86</v>
      </c>
      <c r="G16" s="87">
        <v>69.448253840300438</v>
      </c>
      <c r="H16" s="87">
        <v>53.933410788678572</v>
      </c>
      <c r="I16" s="87">
        <v>39.580109092459807</v>
      </c>
      <c r="J16" s="88">
        <v>1854.2260000000003</v>
      </c>
    </row>
    <row r="17" spans="1:10" ht="18.75" x14ac:dyDescent="0.25">
      <c r="A17" s="64" t="s">
        <v>39</v>
      </c>
      <c r="B17" s="65">
        <v>430</v>
      </c>
      <c r="C17" s="65">
        <v>505</v>
      </c>
      <c r="D17" s="65">
        <v>70</v>
      </c>
      <c r="E17" s="66">
        <v>1</v>
      </c>
      <c r="F17" s="67">
        <v>71</v>
      </c>
      <c r="G17" s="67">
        <v>58.12274905074861</v>
      </c>
      <c r="H17" s="67">
        <v>45.872290126505412</v>
      </c>
      <c r="I17" s="67">
        <v>34.335690857030706</v>
      </c>
      <c r="J17" s="68">
        <v>1589.8960000000002</v>
      </c>
    </row>
    <row r="18" spans="1:10" ht="18.75" x14ac:dyDescent="0.25">
      <c r="A18" s="84" t="s">
        <v>40</v>
      </c>
      <c r="B18" s="85">
        <v>430</v>
      </c>
      <c r="C18" s="85">
        <v>505</v>
      </c>
      <c r="D18" s="85">
        <v>100</v>
      </c>
      <c r="E18" s="86">
        <v>1.4</v>
      </c>
      <c r="F18" s="87">
        <v>101</v>
      </c>
      <c r="G18" s="87">
        <v>81.561321370585404</v>
      </c>
      <c r="H18" s="87">
        <v>63.340401042517861</v>
      </c>
      <c r="I18" s="87">
        <v>46.483616492307448</v>
      </c>
      <c r="J18" s="88">
        <v>1864.0160000000001</v>
      </c>
    </row>
    <row r="19" spans="1:10" ht="18.75" x14ac:dyDescent="0.25">
      <c r="A19" s="64" t="s">
        <v>41</v>
      </c>
      <c r="B19" s="65">
        <v>500</v>
      </c>
      <c r="C19" s="65">
        <v>575</v>
      </c>
      <c r="D19" s="65">
        <v>70</v>
      </c>
      <c r="E19" s="66">
        <v>1.3</v>
      </c>
      <c r="F19" s="67">
        <v>77</v>
      </c>
      <c r="G19" s="67">
        <v>63.034530660671031</v>
      </c>
      <c r="H19" s="67">
        <v>49.748821686491787</v>
      </c>
      <c r="I19" s="67">
        <v>37.237298535089636</v>
      </c>
      <c r="J19" s="68">
        <v>1615.3500000000001</v>
      </c>
    </row>
    <row r="20" spans="1:10" ht="18.75" x14ac:dyDescent="0.25">
      <c r="A20" s="84" t="s">
        <v>42</v>
      </c>
      <c r="B20" s="85">
        <v>500</v>
      </c>
      <c r="C20" s="85">
        <v>575</v>
      </c>
      <c r="D20" s="85">
        <v>100</v>
      </c>
      <c r="E20" s="86">
        <v>1.5</v>
      </c>
      <c r="F20" s="87">
        <v>108</v>
      </c>
      <c r="G20" s="87">
        <v>87.214086218051719</v>
      </c>
      <c r="H20" s="87">
        <v>67.730329827642862</v>
      </c>
      <c r="I20" s="87">
        <v>49.705253278903008</v>
      </c>
      <c r="J20" s="88">
        <v>1899.2600000000002</v>
      </c>
    </row>
    <row r="21" spans="1:10" ht="18.75" x14ac:dyDescent="0.25">
      <c r="A21" s="64" t="s">
        <v>43</v>
      </c>
      <c r="B21" s="65">
        <v>530</v>
      </c>
      <c r="C21" s="65">
        <v>605</v>
      </c>
      <c r="D21" s="65">
        <v>70</v>
      </c>
      <c r="E21" s="66">
        <v>1.6</v>
      </c>
      <c r="F21" s="67">
        <v>81</v>
      </c>
      <c r="G21" s="67">
        <v>66.309051733952643</v>
      </c>
      <c r="H21" s="67">
        <v>52.333176059816033</v>
      </c>
      <c r="I21" s="67">
        <v>39.171703653795596</v>
      </c>
      <c r="J21" s="68">
        <v>1658.4260000000002</v>
      </c>
    </row>
    <row r="22" spans="1:10" ht="18.75" x14ac:dyDescent="0.25">
      <c r="A22" s="84" t="s">
        <v>44</v>
      </c>
      <c r="B22" s="85">
        <v>530</v>
      </c>
      <c r="C22" s="85">
        <v>605</v>
      </c>
      <c r="D22" s="85">
        <v>100</v>
      </c>
      <c r="E22" s="86">
        <v>1.8</v>
      </c>
      <c r="F22" s="87">
        <v>116</v>
      </c>
      <c r="G22" s="87">
        <v>93.674388900870355</v>
      </c>
      <c r="H22" s="87">
        <v>72.747391296357151</v>
      </c>
      <c r="I22" s="87">
        <v>53.387123892155088</v>
      </c>
      <c r="J22" s="88">
        <v>2004.9920000000002</v>
      </c>
    </row>
    <row r="23" spans="1:10" ht="18.75" x14ac:dyDescent="0.25">
      <c r="A23" s="64" t="s">
        <v>45</v>
      </c>
      <c r="B23" s="65">
        <v>630</v>
      </c>
      <c r="C23" s="65">
        <v>705</v>
      </c>
      <c r="D23" s="65">
        <v>70</v>
      </c>
      <c r="E23" s="66">
        <v>1.8</v>
      </c>
      <c r="F23" s="67">
        <v>90</v>
      </c>
      <c r="G23" s="67">
        <v>73.676724148836271</v>
      </c>
      <c r="H23" s="67">
        <v>58.147973399795596</v>
      </c>
      <c r="I23" s="67">
        <v>43.524115170883995</v>
      </c>
      <c r="J23" s="68">
        <v>1719.124</v>
      </c>
    </row>
    <row r="24" spans="1:10" ht="18.75" x14ac:dyDescent="0.25">
      <c r="A24" s="84" t="s">
        <v>46</v>
      </c>
      <c r="B24" s="85">
        <v>630</v>
      </c>
      <c r="C24" s="85">
        <v>705</v>
      </c>
      <c r="D24" s="85">
        <v>100</v>
      </c>
      <c r="E24" s="86">
        <v>2.2000000000000002</v>
      </c>
      <c r="F24" s="87">
        <v>131</v>
      </c>
      <c r="G24" s="87">
        <v>105.78745643115532</v>
      </c>
      <c r="H24" s="87">
        <v>82.154381550196433</v>
      </c>
      <c r="I24" s="87">
        <v>60.290631292002729</v>
      </c>
      <c r="J24" s="88">
        <v>2089.1860000000001</v>
      </c>
    </row>
    <row r="25" spans="1:10" ht="18.75" x14ac:dyDescent="0.25">
      <c r="A25" s="64" t="s">
        <v>47</v>
      </c>
      <c r="B25" s="65">
        <v>730</v>
      </c>
      <c r="C25" s="65">
        <v>805</v>
      </c>
      <c r="D25" s="65">
        <v>70</v>
      </c>
      <c r="E25" s="66">
        <v>2</v>
      </c>
      <c r="F25" s="67">
        <v>98</v>
      </c>
      <c r="G25" s="67">
        <v>80.225766295399495</v>
      </c>
      <c r="H25" s="67">
        <v>63.316682146444094</v>
      </c>
      <c r="I25" s="67">
        <v>47.392925408295902</v>
      </c>
      <c r="J25" s="68">
        <v>1752.4100000000003</v>
      </c>
    </row>
    <row r="26" spans="1:10" ht="18.75" x14ac:dyDescent="0.25">
      <c r="A26" s="84" t="s">
        <v>48</v>
      </c>
      <c r="B26" s="85">
        <v>730</v>
      </c>
      <c r="C26" s="85">
        <v>805</v>
      </c>
      <c r="D26" s="85">
        <v>100</v>
      </c>
      <c r="E26" s="86">
        <v>2.4</v>
      </c>
      <c r="F26" s="87">
        <v>142</v>
      </c>
      <c r="G26" s="87">
        <v>114.67037262003096</v>
      </c>
      <c r="H26" s="87">
        <v>89.052841069678578</v>
      </c>
      <c r="I26" s="87">
        <v>65.353203385224333</v>
      </c>
      <c r="J26" s="88">
        <v>2155.7580000000003</v>
      </c>
    </row>
    <row r="27" spans="1:10" ht="18.75" x14ac:dyDescent="0.25">
      <c r="A27" s="64" t="s">
        <v>49</v>
      </c>
      <c r="B27" s="65">
        <v>830</v>
      </c>
      <c r="C27" s="65">
        <v>905</v>
      </c>
      <c r="D27" s="65">
        <v>70</v>
      </c>
      <c r="E27" s="66">
        <v>2.2999999999999998</v>
      </c>
      <c r="F27" s="67">
        <v>106</v>
      </c>
      <c r="G27" s="67">
        <v>86.774808441962719</v>
      </c>
      <c r="H27" s="67">
        <v>68.485390893092585</v>
      </c>
      <c r="I27" s="67">
        <v>51.261735645707816</v>
      </c>
      <c r="J27" s="68">
        <v>1793.5280000000002</v>
      </c>
    </row>
    <row r="28" spans="1:10" ht="18.75" x14ac:dyDescent="0.25">
      <c r="A28" s="84" t="s">
        <v>50</v>
      </c>
      <c r="B28" s="85">
        <v>830</v>
      </c>
      <c r="C28" s="85">
        <v>905</v>
      </c>
      <c r="D28" s="85">
        <v>100</v>
      </c>
      <c r="E28" s="86">
        <v>2.6</v>
      </c>
      <c r="F28" s="87">
        <v>155</v>
      </c>
      <c r="G28" s="87">
        <v>125.16836447961126</v>
      </c>
      <c r="H28" s="87">
        <v>97.205565956339285</v>
      </c>
      <c r="I28" s="87">
        <v>71.336243131758948</v>
      </c>
      <c r="J28" s="88">
        <v>2228.2040000000002</v>
      </c>
    </row>
    <row r="29" spans="1:10" ht="18.75" x14ac:dyDescent="0.25">
      <c r="A29" s="64" t="s">
        <v>51</v>
      </c>
      <c r="B29" s="65">
        <v>930</v>
      </c>
      <c r="C29" s="65">
        <v>1005</v>
      </c>
      <c r="D29" s="65">
        <v>70</v>
      </c>
      <c r="E29" s="66">
        <v>2.4</v>
      </c>
      <c r="F29" s="67">
        <v>117</v>
      </c>
      <c r="G29" s="67">
        <v>95.779741393487143</v>
      </c>
      <c r="H29" s="67">
        <v>75.592365419734278</v>
      </c>
      <c r="I29" s="67">
        <v>56.581349722149191</v>
      </c>
      <c r="J29" s="68">
        <v>1850.3100000000004</v>
      </c>
    </row>
    <row r="30" spans="1:10" ht="18.75" x14ac:dyDescent="0.25">
      <c r="A30" s="84" t="s">
        <v>52</v>
      </c>
      <c r="B30" s="85">
        <v>930</v>
      </c>
      <c r="C30" s="85">
        <v>1005</v>
      </c>
      <c r="D30" s="85">
        <v>100</v>
      </c>
      <c r="E30" s="86">
        <v>2.8</v>
      </c>
      <c r="F30" s="87">
        <v>167</v>
      </c>
      <c r="G30" s="87">
        <v>134.85881850383922</v>
      </c>
      <c r="H30" s="87">
        <v>104.73115815941073</v>
      </c>
      <c r="I30" s="87">
        <v>76.859049051637058</v>
      </c>
      <c r="J30" s="88">
        <v>2324.1460000000002</v>
      </c>
    </row>
    <row r="31" spans="1:10" ht="18.75" x14ac:dyDescent="0.25">
      <c r="A31" s="64" t="s">
        <v>53</v>
      </c>
      <c r="B31" s="65">
        <v>1030</v>
      </c>
      <c r="C31" s="65">
        <v>1105</v>
      </c>
      <c r="D31" s="65">
        <v>70</v>
      </c>
      <c r="E31" s="66">
        <v>2.5</v>
      </c>
      <c r="F31" s="67">
        <v>125</v>
      </c>
      <c r="G31" s="67">
        <v>102.32878354005037</v>
      </c>
      <c r="H31" s="67">
        <v>80.76107416638277</v>
      </c>
      <c r="I31" s="67">
        <v>60.450159959561098</v>
      </c>
      <c r="J31" s="68">
        <v>1928.63</v>
      </c>
    </row>
    <row r="32" spans="1:10" ht="18.75" x14ac:dyDescent="0.25">
      <c r="A32" s="84" t="s">
        <v>54</v>
      </c>
      <c r="B32" s="85">
        <v>1030</v>
      </c>
      <c r="C32" s="85">
        <v>1105</v>
      </c>
      <c r="D32" s="85">
        <v>100</v>
      </c>
      <c r="E32" s="86">
        <v>3</v>
      </c>
      <c r="F32" s="87">
        <v>179</v>
      </c>
      <c r="G32" s="87">
        <v>144.54927252806721</v>
      </c>
      <c r="H32" s="87">
        <v>112.25675036248215</v>
      </c>
      <c r="I32" s="87">
        <v>82.381854971515182</v>
      </c>
      <c r="J32" s="88">
        <v>2388.7600000000002</v>
      </c>
    </row>
    <row r="33" spans="1:10" ht="18.75" x14ac:dyDescent="0.25">
      <c r="A33" s="64" t="s">
        <v>55</v>
      </c>
      <c r="B33" s="65">
        <v>1130</v>
      </c>
      <c r="C33" s="65">
        <v>1205</v>
      </c>
      <c r="D33" s="65">
        <v>70</v>
      </c>
      <c r="E33" s="66">
        <v>2.6</v>
      </c>
      <c r="F33" s="67">
        <v>137</v>
      </c>
      <c r="G33" s="67">
        <v>112.15234675989521</v>
      </c>
      <c r="H33" s="67">
        <v>88.51413728635552</v>
      </c>
      <c r="I33" s="67">
        <v>66.253375315678966</v>
      </c>
      <c r="J33" s="68">
        <v>1977.5800000000002</v>
      </c>
    </row>
    <row r="34" spans="1:10" ht="18.75" x14ac:dyDescent="0.25">
      <c r="A34" s="84" t="s">
        <v>56</v>
      </c>
      <c r="B34" s="85">
        <v>1130</v>
      </c>
      <c r="C34" s="85">
        <v>1205</v>
      </c>
      <c r="D34" s="85">
        <v>100</v>
      </c>
      <c r="E34" s="86">
        <v>3.3</v>
      </c>
      <c r="F34" s="87">
        <v>187</v>
      </c>
      <c r="G34" s="87">
        <v>151.00957521088583</v>
      </c>
      <c r="H34" s="87">
        <v>117.27381183119644</v>
      </c>
      <c r="I34" s="87">
        <v>86.063725584767255</v>
      </c>
      <c r="J34" s="88">
        <v>2525.8200000000002</v>
      </c>
    </row>
    <row r="35" spans="1:10" ht="18.75" x14ac:dyDescent="0.25">
      <c r="A35" s="64" t="s">
        <v>57</v>
      </c>
      <c r="B35" s="65">
        <v>1230</v>
      </c>
      <c r="C35" s="65">
        <v>1305</v>
      </c>
      <c r="D35" s="65">
        <v>70</v>
      </c>
      <c r="E35" s="66">
        <v>2.7</v>
      </c>
      <c r="F35" s="67">
        <v>146</v>
      </c>
      <c r="G35" s="67">
        <v>119.52001917477884</v>
      </c>
      <c r="H35" s="67">
        <v>94.328934626335069</v>
      </c>
      <c r="I35" s="67">
        <v>70.605786832767365</v>
      </c>
      <c r="J35" s="68">
        <v>2006.9500000000003</v>
      </c>
    </row>
    <row r="36" spans="1:10" ht="18.75" x14ac:dyDescent="0.25">
      <c r="A36" s="84" t="s">
        <v>58</v>
      </c>
      <c r="B36" s="85">
        <v>1230</v>
      </c>
      <c r="C36" s="85">
        <v>1305</v>
      </c>
      <c r="D36" s="85">
        <v>100</v>
      </c>
      <c r="E36" s="86">
        <v>3.5</v>
      </c>
      <c r="F36" s="87">
        <v>201</v>
      </c>
      <c r="G36" s="87">
        <v>162.31510490581846</v>
      </c>
      <c r="H36" s="87">
        <v>126.05366940144644</v>
      </c>
      <c r="I36" s="87">
        <v>92.506999157958376</v>
      </c>
      <c r="J36" s="88">
        <v>2617.8460000000005</v>
      </c>
    </row>
    <row r="37" spans="1:10" ht="18.75" x14ac:dyDescent="0.25">
      <c r="A37" s="64" t="s">
        <v>59</v>
      </c>
      <c r="B37" s="65">
        <v>1330</v>
      </c>
      <c r="C37" s="65">
        <v>1405</v>
      </c>
      <c r="D37" s="65">
        <v>70</v>
      </c>
      <c r="E37" s="66">
        <v>2.8</v>
      </c>
      <c r="F37" s="67">
        <v>155</v>
      </c>
      <c r="G37" s="67">
        <v>126.88769158966247</v>
      </c>
      <c r="H37" s="67">
        <v>100.14373196631463</v>
      </c>
      <c r="I37" s="67">
        <v>74.958198349855763</v>
      </c>
      <c r="J37" s="68">
        <v>2036.3200000000002</v>
      </c>
    </row>
    <row r="38" spans="1:10" ht="18.75" x14ac:dyDescent="0.25">
      <c r="A38" s="84" t="s">
        <v>60</v>
      </c>
      <c r="B38" s="85">
        <v>1330</v>
      </c>
      <c r="C38" s="85">
        <v>1405</v>
      </c>
      <c r="D38" s="85">
        <v>100</v>
      </c>
      <c r="E38" s="86">
        <v>3.7</v>
      </c>
      <c r="F38" s="87">
        <v>214</v>
      </c>
      <c r="G38" s="87">
        <v>172.81309676539877</v>
      </c>
      <c r="H38" s="87">
        <v>134.20639428810716</v>
      </c>
      <c r="I38" s="87">
        <v>98.490038904493005</v>
      </c>
      <c r="J38" s="88">
        <v>2670.7120000000004</v>
      </c>
    </row>
    <row r="39" spans="1:10" ht="18.75" x14ac:dyDescent="0.25">
      <c r="A39" s="64" t="s">
        <v>61</v>
      </c>
      <c r="B39" s="65">
        <v>1430</v>
      </c>
      <c r="C39" s="65">
        <v>1505</v>
      </c>
      <c r="D39" s="65">
        <v>70</v>
      </c>
      <c r="E39" s="66">
        <v>2.9</v>
      </c>
      <c r="F39" s="67">
        <v>164</v>
      </c>
      <c r="G39" s="67">
        <v>134.2553640045461</v>
      </c>
      <c r="H39" s="67">
        <v>105.9585293062942</v>
      </c>
      <c r="I39" s="67">
        <v>79.310609866944162</v>
      </c>
      <c r="J39" s="68">
        <v>2761.4400000000005</v>
      </c>
    </row>
    <row r="40" spans="1:10" ht="18.75" x14ac:dyDescent="0.25">
      <c r="A40" s="84" t="s">
        <v>62</v>
      </c>
      <c r="B40" s="85">
        <v>1430</v>
      </c>
      <c r="C40" s="85">
        <v>1505</v>
      </c>
      <c r="D40" s="85">
        <v>100</v>
      </c>
      <c r="E40" s="86">
        <v>3.9</v>
      </c>
      <c r="F40" s="87">
        <v>226</v>
      </c>
      <c r="G40" s="87">
        <v>182.50355078962673</v>
      </c>
      <c r="H40" s="87">
        <v>141.73198649117859</v>
      </c>
      <c r="I40" s="87">
        <v>104.01284482437111</v>
      </c>
      <c r="J40" s="88">
        <v>3619.4400000000005</v>
      </c>
    </row>
    <row r="41" spans="1:10" ht="18.75" x14ac:dyDescent="0.25">
      <c r="A41" s="64" t="s">
        <v>63</v>
      </c>
      <c r="B41" s="65">
        <v>1530</v>
      </c>
      <c r="C41" s="65">
        <v>1605</v>
      </c>
      <c r="D41" s="65">
        <v>70</v>
      </c>
      <c r="E41" s="66">
        <v>3</v>
      </c>
      <c r="F41" s="67">
        <v>175</v>
      </c>
      <c r="G41" s="67">
        <v>143.26029695607053</v>
      </c>
      <c r="H41" s="67">
        <v>113.06550383293587</v>
      </c>
      <c r="I41" s="67">
        <v>84.630223943385545</v>
      </c>
      <c r="J41" s="68">
        <v>2816.88</v>
      </c>
    </row>
    <row r="42" spans="1:10" ht="18.75" x14ac:dyDescent="0.25">
      <c r="A42" s="84" t="s">
        <v>64</v>
      </c>
      <c r="B42" s="85">
        <v>1530</v>
      </c>
      <c r="C42" s="85">
        <v>1605</v>
      </c>
      <c r="D42" s="85">
        <v>100</v>
      </c>
      <c r="E42" s="86">
        <v>4.2</v>
      </c>
      <c r="F42" s="87">
        <v>241</v>
      </c>
      <c r="G42" s="87">
        <v>194.61661831991171</v>
      </c>
      <c r="H42" s="87">
        <v>151.13897674501786</v>
      </c>
      <c r="I42" s="87">
        <v>110.91635222421876</v>
      </c>
      <c r="J42" s="88">
        <v>3669.6000000000004</v>
      </c>
    </row>
    <row r="43" spans="1:10" ht="18.75" x14ac:dyDescent="0.25">
      <c r="A43" s="64" t="s">
        <v>65</v>
      </c>
      <c r="B43" s="65">
        <v>1630</v>
      </c>
      <c r="C43" s="65">
        <v>1705</v>
      </c>
      <c r="D43" s="65">
        <v>70</v>
      </c>
      <c r="E43" s="66">
        <v>3.2</v>
      </c>
      <c r="F43" s="67">
        <v>186</v>
      </c>
      <c r="G43" s="67">
        <v>152.26522990759494</v>
      </c>
      <c r="H43" s="67">
        <v>120.17247835957757</v>
      </c>
      <c r="I43" s="67">
        <v>89.949838019826913</v>
      </c>
      <c r="J43" s="68">
        <v>2882.88</v>
      </c>
    </row>
    <row r="44" spans="1:10" ht="18.75" x14ac:dyDescent="0.25">
      <c r="A44" s="84" t="s">
        <v>66</v>
      </c>
      <c r="B44" s="85">
        <v>1630</v>
      </c>
      <c r="C44" s="85">
        <v>1705</v>
      </c>
      <c r="D44" s="85">
        <v>100</v>
      </c>
      <c r="E44" s="86">
        <v>4.5</v>
      </c>
      <c r="F44" s="87">
        <v>255</v>
      </c>
      <c r="G44" s="87">
        <v>205.92214801484434</v>
      </c>
      <c r="H44" s="87">
        <v>159.91883431526787</v>
      </c>
      <c r="I44" s="87">
        <v>117.35962579740989</v>
      </c>
      <c r="J44" s="88">
        <v>3880.8</v>
      </c>
    </row>
    <row r="45" spans="1:10" ht="18.75" x14ac:dyDescent="0.25">
      <c r="A45" s="64" t="s">
        <v>67</v>
      </c>
      <c r="B45" s="65">
        <v>1730</v>
      </c>
      <c r="C45" s="65">
        <v>1805</v>
      </c>
      <c r="D45" s="65">
        <v>70</v>
      </c>
      <c r="E45" s="66">
        <v>3.3</v>
      </c>
      <c r="F45" s="67">
        <v>196</v>
      </c>
      <c r="G45" s="67">
        <v>160.45153259079899</v>
      </c>
      <c r="H45" s="67">
        <v>126.63336429288819</v>
      </c>
      <c r="I45" s="67">
        <v>94.785850816591804</v>
      </c>
      <c r="J45" s="68">
        <v>2948.88</v>
      </c>
    </row>
    <row r="46" spans="1:10" ht="18.75" x14ac:dyDescent="0.25">
      <c r="A46" s="84" t="s">
        <v>68</v>
      </c>
      <c r="B46" s="85">
        <v>1730</v>
      </c>
      <c r="C46" s="85">
        <v>1805</v>
      </c>
      <c r="D46" s="85">
        <v>100</v>
      </c>
      <c r="E46" s="86">
        <v>4.5999999999999996</v>
      </c>
      <c r="F46" s="87">
        <v>267</v>
      </c>
      <c r="G46" s="87">
        <v>215.6126020390723</v>
      </c>
      <c r="H46" s="87">
        <v>167.4444265183393</v>
      </c>
      <c r="I46" s="87">
        <v>122.882431717288</v>
      </c>
      <c r="J46" s="88">
        <v>4084.08</v>
      </c>
    </row>
    <row r="47" spans="1:10" ht="9" customHeight="1" x14ac:dyDescent="0.25">
      <c r="A47" s="69"/>
      <c r="B47" s="69"/>
      <c r="C47" s="69"/>
      <c r="D47" s="69"/>
      <c r="E47" s="47"/>
      <c r="F47" s="47"/>
      <c r="G47" s="47"/>
      <c r="H47" s="47"/>
      <c r="I47" s="47"/>
      <c r="J47" s="47"/>
    </row>
    <row r="48" spans="1:10" s="73" customFormat="1" ht="26.25" x14ac:dyDescent="0.4">
      <c r="A48" s="90" t="s">
        <v>69</v>
      </c>
      <c r="B48" s="71"/>
      <c r="C48" s="71"/>
      <c r="D48" s="71"/>
      <c r="E48" s="72"/>
      <c r="F48" s="72"/>
      <c r="G48" s="72"/>
      <c r="H48" s="72"/>
      <c r="I48" s="72"/>
      <c r="J48" s="72"/>
    </row>
    <row r="49" spans="1:10" s="73" customFormat="1" ht="18.75" x14ac:dyDescent="0.3">
      <c r="A49" s="70" t="s">
        <v>70</v>
      </c>
      <c r="B49" s="71"/>
      <c r="C49" s="71"/>
      <c r="E49" s="89">
        <v>5000</v>
      </c>
      <c r="F49" s="72"/>
      <c r="G49" s="72"/>
      <c r="H49" s="72"/>
      <c r="I49" s="72"/>
      <c r="J49" s="72"/>
    </row>
    <row r="50" spans="1:10" s="73" customFormat="1" ht="18.75" x14ac:dyDescent="0.3">
      <c r="A50" s="70" t="s">
        <v>71</v>
      </c>
      <c r="B50" s="71"/>
      <c r="C50" s="71"/>
      <c r="E50" s="89">
        <v>7000</v>
      </c>
      <c r="F50" s="72"/>
      <c r="G50" s="72"/>
      <c r="H50" s="72"/>
      <c r="I50" s="72"/>
      <c r="J50" s="72"/>
    </row>
    <row r="51" spans="1:10" s="73" customFormat="1" ht="9" customHeight="1" x14ac:dyDescent="0.3">
      <c r="A51" s="70"/>
      <c r="B51" s="71"/>
      <c r="C51" s="71"/>
      <c r="D51" s="74"/>
      <c r="E51" s="72"/>
      <c r="F51" s="72"/>
      <c r="G51" s="72"/>
      <c r="H51" s="72"/>
      <c r="I51" s="72"/>
      <c r="J51" s="72"/>
    </row>
    <row r="52" spans="1:10" s="73" customFormat="1" ht="26.25" x14ac:dyDescent="0.4">
      <c r="A52" s="90" t="s">
        <v>72</v>
      </c>
      <c r="B52" s="71"/>
      <c r="C52" s="71"/>
      <c r="D52" s="71"/>
      <c r="E52" s="72"/>
      <c r="F52" s="72"/>
      <c r="G52" s="72"/>
      <c r="H52" s="72"/>
      <c r="I52" s="72"/>
      <c r="J52" s="72"/>
    </row>
    <row r="53" spans="1:10" s="73" customFormat="1" ht="18.75" x14ac:dyDescent="0.3">
      <c r="A53" s="70" t="s">
        <v>74</v>
      </c>
      <c r="B53" s="71"/>
      <c r="C53" s="71"/>
      <c r="D53" s="75"/>
      <c r="E53" s="72"/>
      <c r="F53" s="72"/>
      <c r="G53" s="72"/>
      <c r="H53" s="72"/>
      <c r="I53" s="72"/>
      <c r="J53" s="72"/>
    </row>
    <row r="54" spans="1:10" s="73" customFormat="1" ht="18.75" x14ac:dyDescent="0.3">
      <c r="A54" s="70" t="s">
        <v>73</v>
      </c>
      <c r="B54" s="71"/>
      <c r="C54" s="71"/>
      <c r="D54" s="74"/>
      <c r="E54" s="72"/>
      <c r="F54" s="72"/>
      <c r="G54" s="72"/>
      <c r="H54" s="72"/>
      <c r="I54" s="72"/>
      <c r="J54" s="72"/>
    </row>
  </sheetData>
  <mergeCells count="7">
    <mergeCell ref="J9:J10"/>
    <mergeCell ref="A9:A10"/>
    <mergeCell ref="B9:B10"/>
    <mergeCell ref="C9:C10"/>
    <mergeCell ref="D9:D10"/>
    <mergeCell ref="E9:E10"/>
    <mergeCell ref="F9:I9"/>
  </mergeCells>
  <hyperlinks>
    <hyperlink ref="H6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6"/>
  <sheetViews>
    <sheetView workbookViewId="0">
      <selection activeCell="H11" sqref="H11"/>
    </sheetView>
  </sheetViews>
  <sheetFormatPr defaultRowHeight="15" x14ac:dyDescent="0.25"/>
  <cols>
    <col min="1" max="3" width="21.28515625" style="12" customWidth="1"/>
    <col min="4" max="6" width="21.28515625" style="13" hidden="1" customWidth="1"/>
    <col min="7" max="7" width="5.42578125" style="13" customWidth="1"/>
    <col min="8" max="10" width="21.28515625" style="14" customWidth="1"/>
    <col min="11" max="14" width="21.28515625" style="15" customWidth="1"/>
    <col min="15" max="16384" width="9.140625" style="12"/>
  </cols>
  <sheetData>
    <row r="2" spans="1:14" ht="26.25" x14ac:dyDescent="0.4">
      <c r="L2" s="41" t="s">
        <v>9</v>
      </c>
      <c r="N2" s="12"/>
    </row>
    <row r="3" spans="1:14" ht="15" customHeight="1" x14ac:dyDescent="0.35">
      <c r="L3" s="39"/>
      <c r="N3" s="12"/>
    </row>
    <row r="4" spans="1:14" ht="26.25" x14ac:dyDescent="0.4">
      <c r="L4" s="42" t="s">
        <v>11</v>
      </c>
      <c r="N4" s="12"/>
    </row>
    <row r="5" spans="1:14" ht="15" customHeight="1" x14ac:dyDescent="0.35">
      <c r="L5" s="39"/>
      <c r="N5" s="12"/>
    </row>
    <row r="6" spans="1:14" ht="23.25" x14ac:dyDescent="0.35">
      <c r="L6" s="40" t="s">
        <v>10</v>
      </c>
      <c r="N6" s="12"/>
    </row>
    <row r="7" spans="1:14" ht="15" customHeight="1" x14ac:dyDescent="0.25"/>
    <row r="8" spans="1:14" s="16" customFormat="1" ht="23.25" x14ac:dyDescent="0.3">
      <c r="A8" s="43" t="s">
        <v>16</v>
      </c>
      <c r="D8" s="17"/>
      <c r="E8" s="17"/>
      <c r="F8" s="17"/>
      <c r="G8" s="17"/>
      <c r="H8" s="18"/>
      <c r="I8" s="18"/>
      <c r="J8" s="18"/>
      <c r="K8" s="19"/>
      <c r="L8" s="19"/>
      <c r="M8" s="19"/>
      <c r="N8" s="19"/>
    </row>
    <row r="9" spans="1:14" s="20" customFormat="1" x14ac:dyDescent="0.25">
      <c r="C9" s="21"/>
      <c r="D9" s="22"/>
      <c r="E9" s="22"/>
      <c r="F9" s="22"/>
      <c r="G9" s="22"/>
      <c r="H9" s="23"/>
      <c r="I9" s="23"/>
      <c r="J9" s="23"/>
      <c r="K9" s="23"/>
      <c r="L9" s="24">
        <v>0</v>
      </c>
      <c r="M9" s="23"/>
    </row>
    <row r="10" spans="1:14" s="25" customFormat="1" ht="45" customHeight="1" x14ac:dyDescent="0.25">
      <c r="A10" s="4" t="s">
        <v>2</v>
      </c>
      <c r="B10" s="4" t="s">
        <v>12</v>
      </c>
      <c r="C10" s="4" t="s">
        <v>1</v>
      </c>
      <c r="D10" s="9" t="s">
        <v>6</v>
      </c>
      <c r="E10" s="9" t="s">
        <v>8</v>
      </c>
      <c r="F10" s="9" t="s">
        <v>3</v>
      </c>
      <c r="G10" s="59" t="s">
        <v>20</v>
      </c>
      <c r="H10" s="60"/>
      <c r="I10" s="7" t="s">
        <v>5</v>
      </c>
      <c r="J10" s="7" t="s">
        <v>7</v>
      </c>
      <c r="K10" s="5" t="s">
        <v>0</v>
      </c>
      <c r="L10" s="6" t="s">
        <v>4</v>
      </c>
      <c r="M10" s="5" t="s">
        <v>13</v>
      </c>
      <c r="N10" s="5" t="s">
        <v>14</v>
      </c>
    </row>
    <row r="11" spans="1:14" ht="15.75" x14ac:dyDescent="0.25">
      <c r="A11" s="26" t="str">
        <f>CONCATENATE("ТР 2030-",H11,", БП 3/4")</f>
        <v>ТР 2030-10, БП 3/4</v>
      </c>
      <c r="B11" s="27">
        <v>305</v>
      </c>
      <c r="C11" s="27">
        <v>230</v>
      </c>
      <c r="D11" s="28">
        <v>0.62</v>
      </c>
      <c r="E11" s="28">
        <v>49</v>
      </c>
      <c r="F11" s="28">
        <v>1493.9540000000002</v>
      </c>
      <c r="G11" s="57" t="s">
        <v>18</v>
      </c>
      <c r="H11" s="29">
        <v>10</v>
      </c>
      <c r="I11" s="30">
        <f>D11*H11</f>
        <v>6.2</v>
      </c>
      <c r="J11" s="30">
        <f>E11*H11</f>
        <v>490</v>
      </c>
      <c r="K11" s="31">
        <f t="shared" ref="K11:K28" si="0">IF(H11=0,0,F11*H11)</f>
        <v>14939.54</v>
      </c>
      <c r="L11" s="31">
        <f>K11*$L$9/100</f>
        <v>0</v>
      </c>
      <c r="M11" s="31">
        <f>K11-L11</f>
        <v>14939.54</v>
      </c>
      <c r="N11" s="31">
        <f>K11*1.15-L11</f>
        <v>17180.471000000001</v>
      </c>
    </row>
    <row r="12" spans="1:14" ht="15.75" x14ac:dyDescent="0.25">
      <c r="A12" s="2" t="str">
        <f>CONCATENATE("ТР 2037-",H12,", БП 3/4")</f>
        <v>ТР 2037-10, БП 3/4</v>
      </c>
      <c r="B12" s="1">
        <v>375</v>
      </c>
      <c r="C12" s="1">
        <v>300</v>
      </c>
      <c r="D12" s="10">
        <v>0.7</v>
      </c>
      <c r="E12" s="10">
        <v>55</v>
      </c>
      <c r="F12" s="10">
        <v>1546.8200000000002</v>
      </c>
      <c r="G12" s="58"/>
      <c r="H12" s="11">
        <v>10</v>
      </c>
      <c r="I12" s="8">
        <f>D12*H12</f>
        <v>7</v>
      </c>
      <c r="J12" s="8">
        <f>E12*H12</f>
        <v>550</v>
      </c>
      <c r="K12" s="3">
        <f t="shared" si="0"/>
        <v>15468.2</v>
      </c>
      <c r="L12" s="3">
        <f t="shared" ref="L12:L28" si="1">K12*$L$9/100</f>
        <v>0</v>
      </c>
      <c r="M12" s="3">
        <f t="shared" ref="M12:M28" si="2">K12-L12</f>
        <v>15468.2</v>
      </c>
      <c r="N12" s="3">
        <f>K12*1.15-L12</f>
        <v>17788.43</v>
      </c>
    </row>
    <row r="13" spans="1:14" ht="15.75" x14ac:dyDescent="0.25">
      <c r="A13" s="26" t="str">
        <f>CONCATENATE("ТР 2040-",H13,", БП 3/4")</f>
        <v>ТР 2040-10, БП 3/4</v>
      </c>
      <c r="B13" s="27">
        <v>405</v>
      </c>
      <c r="C13" s="27">
        <v>330</v>
      </c>
      <c r="D13" s="28">
        <v>0.9</v>
      </c>
      <c r="E13" s="28">
        <v>60</v>
      </c>
      <c r="F13" s="28">
        <v>1556.6100000000001</v>
      </c>
      <c r="G13" s="58"/>
      <c r="H13" s="29">
        <v>10</v>
      </c>
      <c r="I13" s="30">
        <f t="shared" ref="I13:I28" si="3">D13*H13</f>
        <v>9</v>
      </c>
      <c r="J13" s="30">
        <f t="shared" ref="J13:J28" si="4">E13*H13</f>
        <v>600</v>
      </c>
      <c r="K13" s="31">
        <f t="shared" si="0"/>
        <v>15566.100000000002</v>
      </c>
      <c r="L13" s="31">
        <f t="shared" si="1"/>
        <v>0</v>
      </c>
      <c r="M13" s="31">
        <f t="shared" si="2"/>
        <v>15566.100000000002</v>
      </c>
      <c r="N13" s="31">
        <f t="shared" ref="N13:N28" si="5">K13*1.15-L13</f>
        <v>17901.014999999999</v>
      </c>
    </row>
    <row r="14" spans="1:14" ht="15.75" x14ac:dyDescent="0.25">
      <c r="A14" s="2" t="str">
        <f>CONCATENATE("ТР 2050-",H14,", БП 3/4")</f>
        <v>ТР 2050-10, БП 3/4</v>
      </c>
      <c r="B14" s="1">
        <v>505</v>
      </c>
      <c r="C14" s="1">
        <v>430</v>
      </c>
      <c r="D14" s="10">
        <v>1</v>
      </c>
      <c r="E14" s="10">
        <v>71</v>
      </c>
      <c r="F14" s="10">
        <v>1589.8960000000002</v>
      </c>
      <c r="G14" s="58"/>
      <c r="H14" s="11">
        <v>10</v>
      </c>
      <c r="I14" s="8">
        <f t="shared" si="3"/>
        <v>10</v>
      </c>
      <c r="J14" s="8">
        <f t="shared" si="4"/>
        <v>710</v>
      </c>
      <c r="K14" s="3">
        <f t="shared" si="0"/>
        <v>15898.960000000003</v>
      </c>
      <c r="L14" s="3">
        <f t="shared" si="1"/>
        <v>0</v>
      </c>
      <c r="M14" s="3">
        <f t="shared" si="2"/>
        <v>15898.960000000003</v>
      </c>
      <c r="N14" s="3">
        <f t="shared" si="5"/>
        <v>18283.804</v>
      </c>
    </row>
    <row r="15" spans="1:14" ht="15.75" x14ac:dyDescent="0.25">
      <c r="A15" s="26" t="str">
        <f>CONCATENATE("ТР 2057-",H15,", БП 3/4")</f>
        <v>ТР 2057-10, БП 3/4</v>
      </c>
      <c r="B15" s="27">
        <v>575</v>
      </c>
      <c r="C15" s="27">
        <v>500</v>
      </c>
      <c r="D15" s="28">
        <v>1.3</v>
      </c>
      <c r="E15" s="28">
        <v>77</v>
      </c>
      <c r="F15" s="28">
        <v>1615.3500000000001</v>
      </c>
      <c r="G15" s="58"/>
      <c r="H15" s="29">
        <v>10</v>
      </c>
      <c r="I15" s="30">
        <f t="shared" si="3"/>
        <v>13</v>
      </c>
      <c r="J15" s="30">
        <f t="shared" si="4"/>
        <v>770</v>
      </c>
      <c r="K15" s="31">
        <f t="shared" si="0"/>
        <v>16153.500000000002</v>
      </c>
      <c r="L15" s="31">
        <f t="shared" si="1"/>
        <v>0</v>
      </c>
      <c r="M15" s="31">
        <f t="shared" si="2"/>
        <v>16153.500000000002</v>
      </c>
      <c r="N15" s="31">
        <f t="shared" si="5"/>
        <v>18576.525000000001</v>
      </c>
    </row>
    <row r="16" spans="1:14" ht="15.75" x14ac:dyDescent="0.25">
      <c r="A16" s="2" t="str">
        <f>CONCATENATE("ТР 2060-",H16,", БП 3/4")</f>
        <v>ТР 2060-10, БП 3/4</v>
      </c>
      <c r="B16" s="1">
        <v>605</v>
      </c>
      <c r="C16" s="1">
        <v>530</v>
      </c>
      <c r="D16" s="10">
        <v>1.6</v>
      </c>
      <c r="E16" s="10">
        <v>81</v>
      </c>
      <c r="F16" s="10">
        <v>1658.4260000000002</v>
      </c>
      <c r="G16" s="58"/>
      <c r="H16" s="11">
        <v>10</v>
      </c>
      <c r="I16" s="8">
        <f t="shared" si="3"/>
        <v>16</v>
      </c>
      <c r="J16" s="8">
        <f t="shared" si="4"/>
        <v>810</v>
      </c>
      <c r="K16" s="3">
        <f t="shared" si="0"/>
        <v>16584.260000000002</v>
      </c>
      <c r="L16" s="3">
        <f t="shared" si="1"/>
        <v>0</v>
      </c>
      <c r="M16" s="3">
        <f t="shared" si="2"/>
        <v>16584.260000000002</v>
      </c>
      <c r="N16" s="3">
        <f t="shared" si="5"/>
        <v>19071.899000000001</v>
      </c>
    </row>
    <row r="17" spans="1:14" ht="15.75" x14ac:dyDescent="0.25">
      <c r="A17" s="26" t="str">
        <f>CONCATENATE("ТР 2070-",H17,", БП 3/4")</f>
        <v>ТР 2070-10, БП 3/4</v>
      </c>
      <c r="B17" s="27">
        <v>705</v>
      </c>
      <c r="C17" s="27">
        <v>630</v>
      </c>
      <c r="D17" s="28">
        <v>1.8</v>
      </c>
      <c r="E17" s="28">
        <v>90</v>
      </c>
      <c r="F17" s="28">
        <v>1719.124</v>
      </c>
      <c r="G17" s="58"/>
      <c r="H17" s="29">
        <v>10</v>
      </c>
      <c r="I17" s="30">
        <f t="shared" si="3"/>
        <v>18</v>
      </c>
      <c r="J17" s="30">
        <f t="shared" si="4"/>
        <v>900</v>
      </c>
      <c r="K17" s="31">
        <f t="shared" si="0"/>
        <v>17191.240000000002</v>
      </c>
      <c r="L17" s="31">
        <f t="shared" si="1"/>
        <v>0</v>
      </c>
      <c r="M17" s="31">
        <f t="shared" si="2"/>
        <v>17191.240000000002</v>
      </c>
      <c r="N17" s="31">
        <f t="shared" si="5"/>
        <v>19769.925999999999</v>
      </c>
    </row>
    <row r="18" spans="1:14" ht="15.75" x14ac:dyDescent="0.25">
      <c r="A18" s="2" t="str">
        <f>CONCATENATE("ТР 2080-",H18,", БП 3/4")</f>
        <v>ТР 2080-10, БП 3/4</v>
      </c>
      <c r="B18" s="1">
        <v>805</v>
      </c>
      <c r="C18" s="1">
        <v>730</v>
      </c>
      <c r="D18" s="10">
        <v>2</v>
      </c>
      <c r="E18" s="10">
        <v>98</v>
      </c>
      <c r="F18" s="10">
        <v>1752.4100000000003</v>
      </c>
      <c r="G18" s="58"/>
      <c r="H18" s="11">
        <v>10</v>
      </c>
      <c r="I18" s="8">
        <f t="shared" si="3"/>
        <v>20</v>
      </c>
      <c r="J18" s="8">
        <f t="shared" si="4"/>
        <v>980</v>
      </c>
      <c r="K18" s="3">
        <f t="shared" si="0"/>
        <v>17524.100000000002</v>
      </c>
      <c r="L18" s="3">
        <f t="shared" si="1"/>
        <v>0</v>
      </c>
      <c r="M18" s="3">
        <f t="shared" si="2"/>
        <v>17524.100000000002</v>
      </c>
      <c r="N18" s="3">
        <f t="shared" si="5"/>
        <v>20152.715</v>
      </c>
    </row>
    <row r="19" spans="1:14" ht="15.75" x14ac:dyDescent="0.25">
      <c r="A19" s="26" t="str">
        <f>CONCATENATE("ТР 2090-",H19,", БП 3/4")</f>
        <v>ТР 2090-10, БП 3/4</v>
      </c>
      <c r="B19" s="27">
        <v>905</v>
      </c>
      <c r="C19" s="27">
        <v>830</v>
      </c>
      <c r="D19" s="28">
        <v>2.2999999999999998</v>
      </c>
      <c r="E19" s="28">
        <v>106</v>
      </c>
      <c r="F19" s="28">
        <v>1793.5280000000002</v>
      </c>
      <c r="G19" s="58"/>
      <c r="H19" s="29">
        <v>10</v>
      </c>
      <c r="I19" s="30">
        <f t="shared" si="3"/>
        <v>23</v>
      </c>
      <c r="J19" s="30">
        <f t="shared" si="4"/>
        <v>1060</v>
      </c>
      <c r="K19" s="31">
        <f t="shared" si="0"/>
        <v>17935.280000000002</v>
      </c>
      <c r="L19" s="31">
        <f t="shared" si="1"/>
        <v>0</v>
      </c>
      <c r="M19" s="31">
        <f t="shared" si="2"/>
        <v>17935.280000000002</v>
      </c>
      <c r="N19" s="31">
        <f t="shared" si="5"/>
        <v>20625.572</v>
      </c>
    </row>
    <row r="20" spans="1:14" ht="15.75" x14ac:dyDescent="0.25">
      <c r="A20" s="2" t="str">
        <f>CONCATENATE("ТР 2100-",H20,", БП 3/4")</f>
        <v>ТР 2100-10, БП 3/4</v>
      </c>
      <c r="B20" s="1">
        <v>1005</v>
      </c>
      <c r="C20" s="1">
        <v>930</v>
      </c>
      <c r="D20" s="10">
        <v>2.4</v>
      </c>
      <c r="E20" s="10">
        <v>117</v>
      </c>
      <c r="F20" s="10">
        <v>1850.3100000000004</v>
      </c>
      <c r="G20" s="58"/>
      <c r="H20" s="11">
        <v>10</v>
      </c>
      <c r="I20" s="8">
        <f t="shared" si="3"/>
        <v>24</v>
      </c>
      <c r="J20" s="8">
        <f t="shared" si="4"/>
        <v>1170</v>
      </c>
      <c r="K20" s="3">
        <f t="shared" si="0"/>
        <v>18503.100000000006</v>
      </c>
      <c r="L20" s="3">
        <f t="shared" si="1"/>
        <v>0</v>
      </c>
      <c r="M20" s="3">
        <f t="shared" si="2"/>
        <v>18503.100000000006</v>
      </c>
      <c r="N20" s="3">
        <f t="shared" si="5"/>
        <v>21278.565000000006</v>
      </c>
    </row>
    <row r="21" spans="1:14" ht="15.75" x14ac:dyDescent="0.25">
      <c r="A21" s="26" t="str">
        <f>CONCATENATE("ТР 2110-",H21,", БП 3/4")</f>
        <v>ТР 2110-10, БП 3/4</v>
      </c>
      <c r="B21" s="27">
        <v>1105</v>
      </c>
      <c r="C21" s="27">
        <v>1030</v>
      </c>
      <c r="D21" s="28">
        <v>2.5</v>
      </c>
      <c r="E21" s="28">
        <v>125</v>
      </c>
      <c r="F21" s="28">
        <v>1928.63</v>
      </c>
      <c r="G21" s="57" t="s">
        <v>19</v>
      </c>
      <c r="H21" s="29">
        <v>10</v>
      </c>
      <c r="I21" s="30">
        <f t="shared" si="3"/>
        <v>25</v>
      </c>
      <c r="J21" s="30">
        <f t="shared" si="4"/>
        <v>1250</v>
      </c>
      <c r="K21" s="31">
        <f t="shared" si="0"/>
        <v>19286.300000000003</v>
      </c>
      <c r="L21" s="31">
        <f t="shared" si="1"/>
        <v>0</v>
      </c>
      <c r="M21" s="31">
        <f t="shared" si="2"/>
        <v>19286.300000000003</v>
      </c>
      <c r="N21" s="31">
        <f t="shared" si="5"/>
        <v>22179.245000000003</v>
      </c>
    </row>
    <row r="22" spans="1:14" ht="15.75" x14ac:dyDescent="0.25">
      <c r="A22" s="2" t="str">
        <f>CONCATENATE("ТР 2120-",H22,", БП 3/4")</f>
        <v>ТР 2120-10, БП 3/4</v>
      </c>
      <c r="B22" s="1">
        <v>1205</v>
      </c>
      <c r="C22" s="1">
        <v>1130</v>
      </c>
      <c r="D22" s="10">
        <v>2.6</v>
      </c>
      <c r="E22" s="10">
        <v>137</v>
      </c>
      <c r="F22" s="10">
        <v>1977.5800000000002</v>
      </c>
      <c r="G22" s="58"/>
      <c r="H22" s="11">
        <v>10</v>
      </c>
      <c r="I22" s="8">
        <f t="shared" si="3"/>
        <v>26</v>
      </c>
      <c r="J22" s="8">
        <f t="shared" si="4"/>
        <v>1370</v>
      </c>
      <c r="K22" s="3">
        <f t="shared" si="0"/>
        <v>19775.800000000003</v>
      </c>
      <c r="L22" s="3">
        <f t="shared" si="1"/>
        <v>0</v>
      </c>
      <c r="M22" s="3">
        <f t="shared" si="2"/>
        <v>19775.800000000003</v>
      </c>
      <c r="N22" s="3">
        <f t="shared" si="5"/>
        <v>22742.170000000002</v>
      </c>
    </row>
    <row r="23" spans="1:14" ht="15.75" x14ac:dyDescent="0.25">
      <c r="A23" s="26" t="str">
        <f>CONCATENATE("ТР 2130-",H23,", БП 3/4")</f>
        <v>ТР 2130-10, БП 3/4</v>
      </c>
      <c r="B23" s="27">
        <v>1305</v>
      </c>
      <c r="C23" s="27">
        <v>1230</v>
      </c>
      <c r="D23" s="28">
        <v>2.7</v>
      </c>
      <c r="E23" s="28">
        <v>146</v>
      </c>
      <c r="F23" s="28">
        <v>2006.9500000000003</v>
      </c>
      <c r="G23" s="58"/>
      <c r="H23" s="29">
        <v>10</v>
      </c>
      <c r="I23" s="30">
        <f t="shared" si="3"/>
        <v>27</v>
      </c>
      <c r="J23" s="30">
        <f t="shared" si="4"/>
        <v>1460</v>
      </c>
      <c r="K23" s="31">
        <f t="shared" si="0"/>
        <v>20069.500000000004</v>
      </c>
      <c r="L23" s="31">
        <f t="shared" si="1"/>
        <v>0</v>
      </c>
      <c r="M23" s="31">
        <f t="shared" si="2"/>
        <v>20069.500000000004</v>
      </c>
      <c r="N23" s="31">
        <f t="shared" si="5"/>
        <v>23079.925000000003</v>
      </c>
    </row>
    <row r="24" spans="1:14" ht="15.75" x14ac:dyDescent="0.25">
      <c r="A24" s="2" t="str">
        <f>CONCATENATE("ТР 2140-",H24,", БП 3/4")</f>
        <v>ТР 2140-10, БП 3/4</v>
      </c>
      <c r="B24" s="1">
        <v>1405</v>
      </c>
      <c r="C24" s="1">
        <v>1330</v>
      </c>
      <c r="D24" s="10">
        <v>2.8</v>
      </c>
      <c r="E24" s="10">
        <v>155</v>
      </c>
      <c r="F24" s="10">
        <v>2036.3200000000002</v>
      </c>
      <c r="G24" s="58"/>
      <c r="H24" s="11">
        <v>10</v>
      </c>
      <c r="I24" s="8">
        <f t="shared" si="3"/>
        <v>28</v>
      </c>
      <c r="J24" s="8">
        <f t="shared" si="4"/>
        <v>1550</v>
      </c>
      <c r="K24" s="3">
        <f t="shared" si="0"/>
        <v>20363.2</v>
      </c>
      <c r="L24" s="3">
        <f t="shared" si="1"/>
        <v>0</v>
      </c>
      <c r="M24" s="3">
        <f t="shared" si="2"/>
        <v>20363.2</v>
      </c>
      <c r="N24" s="3">
        <f t="shared" si="5"/>
        <v>23417.68</v>
      </c>
    </row>
    <row r="25" spans="1:14" ht="15.75" x14ac:dyDescent="0.25">
      <c r="A25" s="26" t="str">
        <f>CONCATENATE("ТР 2150-",H25,", БП 3/4")</f>
        <v>ТР 2150-10, БП 3/4</v>
      </c>
      <c r="B25" s="27">
        <v>1505</v>
      </c>
      <c r="C25" s="27">
        <v>1430</v>
      </c>
      <c r="D25" s="28">
        <v>2.9</v>
      </c>
      <c r="E25" s="28">
        <v>164</v>
      </c>
      <c r="F25" s="28">
        <v>2761.4400000000005</v>
      </c>
      <c r="G25" s="58"/>
      <c r="H25" s="29">
        <v>10</v>
      </c>
      <c r="I25" s="30">
        <f t="shared" si="3"/>
        <v>29</v>
      </c>
      <c r="J25" s="30">
        <f t="shared" si="4"/>
        <v>1640</v>
      </c>
      <c r="K25" s="31">
        <f t="shared" si="0"/>
        <v>27614.400000000005</v>
      </c>
      <c r="L25" s="31">
        <f t="shared" si="1"/>
        <v>0</v>
      </c>
      <c r="M25" s="31">
        <f t="shared" si="2"/>
        <v>27614.400000000005</v>
      </c>
      <c r="N25" s="31">
        <f t="shared" si="5"/>
        <v>31756.560000000005</v>
      </c>
    </row>
    <row r="26" spans="1:14" ht="15.75" x14ac:dyDescent="0.25">
      <c r="A26" s="2" t="str">
        <f>CONCATENATE("ТР 2160-",H26,", БП 3/4")</f>
        <v>ТР 2160-10, БП 3/4</v>
      </c>
      <c r="B26" s="1">
        <v>1605</v>
      </c>
      <c r="C26" s="1">
        <v>1530</v>
      </c>
      <c r="D26" s="10">
        <v>3</v>
      </c>
      <c r="E26" s="10">
        <v>175</v>
      </c>
      <c r="F26" s="10">
        <v>2816.88</v>
      </c>
      <c r="G26" s="58"/>
      <c r="H26" s="11">
        <v>10</v>
      </c>
      <c r="I26" s="8">
        <f t="shared" si="3"/>
        <v>30</v>
      </c>
      <c r="J26" s="8">
        <f t="shared" si="4"/>
        <v>1750</v>
      </c>
      <c r="K26" s="3">
        <f t="shared" si="0"/>
        <v>28168.800000000003</v>
      </c>
      <c r="L26" s="3">
        <f t="shared" si="1"/>
        <v>0</v>
      </c>
      <c r="M26" s="3">
        <f t="shared" si="2"/>
        <v>28168.800000000003</v>
      </c>
      <c r="N26" s="3">
        <f t="shared" si="5"/>
        <v>32394.120000000003</v>
      </c>
    </row>
    <row r="27" spans="1:14" ht="15.75" x14ac:dyDescent="0.25">
      <c r="A27" s="26" t="str">
        <f>CONCATENATE("ТР 2170-",H27,", БП 3/4")</f>
        <v>ТР 2170-10, БП 3/4</v>
      </c>
      <c r="B27" s="27">
        <v>1705</v>
      </c>
      <c r="C27" s="27">
        <v>1630</v>
      </c>
      <c r="D27" s="28">
        <v>3.2</v>
      </c>
      <c r="E27" s="28">
        <v>186</v>
      </c>
      <c r="F27" s="28">
        <v>2882.88</v>
      </c>
      <c r="G27" s="58"/>
      <c r="H27" s="29">
        <v>10</v>
      </c>
      <c r="I27" s="30">
        <f t="shared" si="3"/>
        <v>32</v>
      </c>
      <c r="J27" s="30">
        <f t="shared" si="4"/>
        <v>1860</v>
      </c>
      <c r="K27" s="31">
        <f t="shared" si="0"/>
        <v>28828.800000000003</v>
      </c>
      <c r="L27" s="31">
        <f t="shared" si="1"/>
        <v>0</v>
      </c>
      <c r="M27" s="31">
        <f t="shared" si="2"/>
        <v>28828.800000000003</v>
      </c>
      <c r="N27" s="31">
        <f t="shared" si="5"/>
        <v>33153.120000000003</v>
      </c>
    </row>
    <row r="28" spans="1:14" ht="15.75" x14ac:dyDescent="0.25">
      <c r="A28" s="2" t="str">
        <f>CONCATENATE("ТР 2180-",H28,", БП 3/4")</f>
        <v>ТР 2180-10, БП 3/4</v>
      </c>
      <c r="B28" s="1">
        <v>1805</v>
      </c>
      <c r="C28" s="1">
        <v>1730</v>
      </c>
      <c r="D28" s="10">
        <v>3.3</v>
      </c>
      <c r="E28" s="10">
        <v>196</v>
      </c>
      <c r="F28" s="10">
        <v>2948.88</v>
      </c>
      <c r="G28" s="58"/>
      <c r="H28" s="11">
        <v>10</v>
      </c>
      <c r="I28" s="8">
        <f t="shared" si="3"/>
        <v>33</v>
      </c>
      <c r="J28" s="8">
        <f t="shared" si="4"/>
        <v>1960</v>
      </c>
      <c r="K28" s="3">
        <f t="shared" si="0"/>
        <v>29488.800000000003</v>
      </c>
      <c r="L28" s="3">
        <f t="shared" si="1"/>
        <v>0</v>
      </c>
      <c r="M28" s="3">
        <f t="shared" si="2"/>
        <v>29488.800000000003</v>
      </c>
      <c r="N28" s="3">
        <f t="shared" si="5"/>
        <v>33912.120000000003</v>
      </c>
    </row>
    <row r="29" spans="1:14" ht="6.95" customHeight="1" x14ac:dyDescent="0.25">
      <c r="A29" s="20"/>
      <c r="B29" s="37"/>
      <c r="C29" s="37"/>
      <c r="D29" s="45"/>
      <c r="E29" s="45"/>
      <c r="F29" s="45"/>
      <c r="G29" s="45"/>
      <c r="H29" s="46"/>
      <c r="I29" s="47"/>
      <c r="J29" s="47"/>
      <c r="K29" s="48"/>
      <c r="L29" s="48"/>
      <c r="M29" s="48"/>
      <c r="N29" s="48"/>
    </row>
    <row r="30" spans="1:14" s="49" customFormat="1" ht="12.75" x14ac:dyDescent="0.2">
      <c r="A30" s="49" t="s">
        <v>21</v>
      </c>
      <c r="D30" s="50"/>
      <c r="E30" s="50"/>
      <c r="F30" s="50"/>
      <c r="G30" s="50"/>
      <c r="H30" s="51"/>
      <c r="I30" s="51"/>
      <c r="J30" s="51"/>
      <c r="K30" s="52"/>
      <c r="L30" s="52"/>
      <c r="M30" s="52"/>
      <c r="N30" s="52"/>
    </row>
    <row r="31" spans="1:14" s="53" customFormat="1" ht="12.75" x14ac:dyDescent="0.2">
      <c r="A31" s="49" t="s">
        <v>15</v>
      </c>
      <c r="D31" s="54"/>
      <c r="E31" s="54"/>
      <c r="F31" s="54"/>
      <c r="G31" s="54"/>
      <c r="H31" s="55"/>
      <c r="I31" s="55"/>
      <c r="J31" s="55"/>
      <c r="K31" s="56"/>
      <c r="L31" s="56"/>
      <c r="M31" s="56"/>
      <c r="N31" s="56"/>
    </row>
    <row r="32" spans="1:14" x14ac:dyDescent="0.25">
      <c r="A32" s="32"/>
    </row>
    <row r="33" spans="1:14" s="16" customFormat="1" ht="23.25" x14ac:dyDescent="0.3">
      <c r="A33" s="44" t="s">
        <v>22</v>
      </c>
      <c r="D33" s="17"/>
      <c r="E33" s="17"/>
      <c r="F33" s="17"/>
      <c r="G33" s="17"/>
      <c r="H33" s="18"/>
      <c r="I33" s="18"/>
      <c r="J33" s="18"/>
      <c r="K33" s="19"/>
      <c r="L33" s="19"/>
      <c r="M33" s="19"/>
      <c r="N33" s="19"/>
    </row>
    <row r="34" spans="1:14" s="20" customFormat="1" ht="18.75" x14ac:dyDescent="0.25">
      <c r="C34" s="33"/>
      <c r="D34" s="34"/>
      <c r="E34" s="34"/>
      <c r="F34" s="34"/>
      <c r="G34" s="34"/>
      <c r="H34" s="35"/>
      <c r="I34" s="35"/>
      <c r="J34" s="35"/>
      <c r="K34" s="23"/>
      <c r="L34" s="24">
        <v>0</v>
      </c>
      <c r="M34" s="23"/>
    </row>
    <row r="35" spans="1:14" s="25" customFormat="1" ht="45" customHeight="1" x14ac:dyDescent="0.25">
      <c r="A35" s="4" t="s">
        <v>2</v>
      </c>
      <c r="B35" s="4" t="s">
        <v>12</v>
      </c>
      <c r="C35" s="4" t="s">
        <v>1</v>
      </c>
      <c r="D35" s="9" t="s">
        <v>6</v>
      </c>
      <c r="E35" s="9" t="s">
        <v>8</v>
      </c>
      <c r="F35" s="9" t="s">
        <v>3</v>
      </c>
      <c r="G35" s="59" t="s">
        <v>20</v>
      </c>
      <c r="H35" s="60"/>
      <c r="I35" s="7" t="s">
        <v>5</v>
      </c>
      <c r="J35" s="7" t="s">
        <v>7</v>
      </c>
      <c r="K35" s="5" t="s">
        <v>0</v>
      </c>
      <c r="L35" s="6" t="s">
        <v>4</v>
      </c>
      <c r="M35" s="5" t="s">
        <v>13</v>
      </c>
      <c r="N35" s="5" t="s">
        <v>14</v>
      </c>
    </row>
    <row r="36" spans="1:14" ht="15.75" x14ac:dyDescent="0.25">
      <c r="A36" s="26" t="str">
        <f>CONCATENATE("ТР 2030-",H36,", НП 1/2")</f>
        <v>ТР 2030-10, НП 1/2</v>
      </c>
      <c r="B36" s="27">
        <v>305</v>
      </c>
      <c r="C36" s="27">
        <v>230</v>
      </c>
      <c r="D36" s="28">
        <v>0.62</v>
      </c>
      <c r="E36" s="28">
        <v>49</v>
      </c>
      <c r="F36" s="28">
        <v>1493.9540000000002</v>
      </c>
      <c r="G36" s="57" t="s">
        <v>18</v>
      </c>
      <c r="H36" s="29">
        <v>10</v>
      </c>
      <c r="I36" s="30">
        <f>D36*H36</f>
        <v>6.2</v>
      </c>
      <c r="J36" s="30">
        <f>E36*H36</f>
        <v>490</v>
      </c>
      <c r="K36" s="31">
        <f>IF(H36=0,0,F36*H36+5000)</f>
        <v>19939.54</v>
      </c>
      <c r="L36" s="31">
        <f t="shared" ref="L36:L53" si="6">K36*$L$34/100</f>
        <v>0</v>
      </c>
      <c r="M36" s="31">
        <f t="shared" ref="M36" si="7">K36-L36</f>
        <v>19939.54</v>
      </c>
      <c r="N36" s="31">
        <f>IF(H36=0,0,F36*H36*1.15+5000-L36)</f>
        <v>22180.471000000001</v>
      </c>
    </row>
    <row r="37" spans="1:14" ht="15.75" x14ac:dyDescent="0.25">
      <c r="A37" s="2" t="str">
        <f>CONCATENATE("ТР 2037-",H37,", НП 1/2")</f>
        <v>ТР 2037-10, НП 1/2</v>
      </c>
      <c r="B37" s="1">
        <v>375</v>
      </c>
      <c r="C37" s="1">
        <v>300</v>
      </c>
      <c r="D37" s="10">
        <v>0.7</v>
      </c>
      <c r="E37" s="10">
        <v>55</v>
      </c>
      <c r="F37" s="10">
        <v>1546.8200000000002</v>
      </c>
      <c r="G37" s="58"/>
      <c r="H37" s="11">
        <v>10</v>
      </c>
      <c r="I37" s="8">
        <f>D37*H37</f>
        <v>7</v>
      </c>
      <c r="J37" s="8">
        <f>E37*H37</f>
        <v>550</v>
      </c>
      <c r="K37" s="3">
        <f t="shared" ref="K37:K53" si="8">IF(H37=0,0,F37*H37+5000)</f>
        <v>20468.2</v>
      </c>
      <c r="L37" s="3">
        <f t="shared" si="6"/>
        <v>0</v>
      </c>
      <c r="M37" s="3">
        <f t="shared" ref="M37:M38" si="9">K37-L37</f>
        <v>20468.2</v>
      </c>
      <c r="N37" s="3">
        <f>IF(H37=0,0,F37*H37*1.15+5000-L37)</f>
        <v>22788.43</v>
      </c>
    </row>
    <row r="38" spans="1:14" ht="15.75" x14ac:dyDescent="0.25">
      <c r="A38" s="26" t="str">
        <f>CONCATENATE("ТР 2040-",H38,", НП 1/2")</f>
        <v>ТР 2040-10, НП 1/2</v>
      </c>
      <c r="B38" s="27">
        <v>405</v>
      </c>
      <c r="C38" s="27">
        <v>330</v>
      </c>
      <c r="D38" s="28">
        <v>0.9</v>
      </c>
      <c r="E38" s="28">
        <v>60</v>
      </c>
      <c r="F38" s="28">
        <v>1556.6100000000001</v>
      </c>
      <c r="G38" s="58"/>
      <c r="H38" s="29">
        <v>10</v>
      </c>
      <c r="I38" s="30">
        <f t="shared" ref="I38:I53" si="10">D38*H38</f>
        <v>9</v>
      </c>
      <c r="J38" s="30">
        <f t="shared" ref="J38:J53" si="11">E38*H38</f>
        <v>600</v>
      </c>
      <c r="K38" s="31">
        <f t="shared" si="8"/>
        <v>20566.100000000002</v>
      </c>
      <c r="L38" s="31">
        <f t="shared" si="6"/>
        <v>0</v>
      </c>
      <c r="M38" s="31">
        <f t="shared" si="9"/>
        <v>20566.100000000002</v>
      </c>
      <c r="N38" s="31">
        <f t="shared" ref="N38:N53" si="12">IF(H38=0,0,F38*H38*1.15+5000-L38)</f>
        <v>22901.014999999999</v>
      </c>
    </row>
    <row r="39" spans="1:14" ht="15.75" x14ac:dyDescent="0.25">
      <c r="A39" s="2" t="str">
        <f>CONCATENATE("ТР 2050-",H39,", НП 1/2")</f>
        <v>ТР 2050-10, НП 1/2</v>
      </c>
      <c r="B39" s="1">
        <v>505</v>
      </c>
      <c r="C39" s="1">
        <v>430</v>
      </c>
      <c r="D39" s="10">
        <v>1</v>
      </c>
      <c r="E39" s="10">
        <v>71</v>
      </c>
      <c r="F39" s="10">
        <v>1589.8960000000002</v>
      </c>
      <c r="G39" s="58"/>
      <c r="H39" s="11">
        <v>10</v>
      </c>
      <c r="I39" s="8">
        <f t="shared" si="10"/>
        <v>10</v>
      </c>
      <c r="J39" s="8">
        <f t="shared" si="11"/>
        <v>710</v>
      </c>
      <c r="K39" s="3">
        <f t="shared" si="8"/>
        <v>20898.960000000003</v>
      </c>
      <c r="L39" s="3">
        <f t="shared" si="6"/>
        <v>0</v>
      </c>
      <c r="M39" s="3">
        <f t="shared" ref="M39:M53" si="13">K39-L39</f>
        <v>20898.960000000003</v>
      </c>
      <c r="N39" s="3">
        <f t="shared" si="12"/>
        <v>23283.804</v>
      </c>
    </row>
    <row r="40" spans="1:14" ht="15.75" x14ac:dyDescent="0.25">
      <c r="A40" s="26" t="str">
        <f>CONCATENATE("ТР 2057-",H40,", НП 1/2")</f>
        <v>ТР 2057-10, НП 1/2</v>
      </c>
      <c r="B40" s="27">
        <v>575</v>
      </c>
      <c r="C40" s="27">
        <v>500</v>
      </c>
      <c r="D40" s="28">
        <v>1.3</v>
      </c>
      <c r="E40" s="28">
        <v>77</v>
      </c>
      <c r="F40" s="28">
        <v>1615.3500000000001</v>
      </c>
      <c r="G40" s="58"/>
      <c r="H40" s="29">
        <v>10</v>
      </c>
      <c r="I40" s="30">
        <f t="shared" si="10"/>
        <v>13</v>
      </c>
      <c r="J40" s="30">
        <f t="shared" si="11"/>
        <v>770</v>
      </c>
      <c r="K40" s="31">
        <f t="shared" si="8"/>
        <v>21153.5</v>
      </c>
      <c r="L40" s="31">
        <f t="shared" si="6"/>
        <v>0</v>
      </c>
      <c r="M40" s="31">
        <f t="shared" si="13"/>
        <v>21153.5</v>
      </c>
      <c r="N40" s="31">
        <f t="shared" si="12"/>
        <v>23576.525000000001</v>
      </c>
    </row>
    <row r="41" spans="1:14" ht="15.75" x14ac:dyDescent="0.25">
      <c r="A41" s="2" t="str">
        <f>CONCATENATE("ТР 2060-",H41,", НП 1/2")</f>
        <v>ТР 2060-10, НП 1/2</v>
      </c>
      <c r="B41" s="1">
        <v>605</v>
      </c>
      <c r="C41" s="1">
        <v>530</v>
      </c>
      <c r="D41" s="10">
        <v>1.6</v>
      </c>
      <c r="E41" s="10">
        <v>81</v>
      </c>
      <c r="F41" s="10">
        <v>1658.4260000000002</v>
      </c>
      <c r="G41" s="58"/>
      <c r="H41" s="11">
        <v>10</v>
      </c>
      <c r="I41" s="8">
        <f t="shared" si="10"/>
        <v>16</v>
      </c>
      <c r="J41" s="8">
        <f t="shared" si="11"/>
        <v>810</v>
      </c>
      <c r="K41" s="3">
        <f t="shared" si="8"/>
        <v>21584.260000000002</v>
      </c>
      <c r="L41" s="3">
        <f t="shared" si="6"/>
        <v>0</v>
      </c>
      <c r="M41" s="3">
        <f t="shared" si="13"/>
        <v>21584.260000000002</v>
      </c>
      <c r="N41" s="3">
        <f t="shared" si="12"/>
        <v>24071.899000000001</v>
      </c>
    </row>
    <row r="42" spans="1:14" ht="15.75" x14ac:dyDescent="0.25">
      <c r="A42" s="26" t="str">
        <f>CONCATENATE("ТР 2070-",H42,", НП 1/2")</f>
        <v>ТР 2070-10, НП 1/2</v>
      </c>
      <c r="B42" s="27">
        <v>705</v>
      </c>
      <c r="C42" s="27">
        <v>630</v>
      </c>
      <c r="D42" s="28">
        <v>1.8</v>
      </c>
      <c r="E42" s="28">
        <v>90</v>
      </c>
      <c r="F42" s="28">
        <v>1719.124</v>
      </c>
      <c r="G42" s="58"/>
      <c r="H42" s="29">
        <v>10</v>
      </c>
      <c r="I42" s="30">
        <f t="shared" si="10"/>
        <v>18</v>
      </c>
      <c r="J42" s="30">
        <f t="shared" si="11"/>
        <v>900</v>
      </c>
      <c r="K42" s="31">
        <f t="shared" si="8"/>
        <v>22191.24</v>
      </c>
      <c r="L42" s="31">
        <f t="shared" si="6"/>
        <v>0</v>
      </c>
      <c r="M42" s="31">
        <f t="shared" si="13"/>
        <v>22191.24</v>
      </c>
      <c r="N42" s="31">
        <f t="shared" si="12"/>
        <v>24769.925999999999</v>
      </c>
    </row>
    <row r="43" spans="1:14" ht="15.75" x14ac:dyDescent="0.25">
      <c r="A43" s="2" t="str">
        <f>CONCATENATE("ТР 2080-",H43,", НП 1/2")</f>
        <v>ТР 2080-10, НП 1/2</v>
      </c>
      <c r="B43" s="1">
        <v>805</v>
      </c>
      <c r="C43" s="1">
        <v>730</v>
      </c>
      <c r="D43" s="10">
        <v>2</v>
      </c>
      <c r="E43" s="10">
        <v>98</v>
      </c>
      <c r="F43" s="10">
        <v>1752.4100000000003</v>
      </c>
      <c r="G43" s="58"/>
      <c r="H43" s="11">
        <v>10</v>
      </c>
      <c r="I43" s="8">
        <f t="shared" si="10"/>
        <v>20</v>
      </c>
      <c r="J43" s="8">
        <f t="shared" si="11"/>
        <v>980</v>
      </c>
      <c r="K43" s="3">
        <f t="shared" si="8"/>
        <v>22524.100000000002</v>
      </c>
      <c r="L43" s="3">
        <f t="shared" si="6"/>
        <v>0</v>
      </c>
      <c r="M43" s="3">
        <f t="shared" si="13"/>
        <v>22524.100000000002</v>
      </c>
      <c r="N43" s="3">
        <f t="shared" si="12"/>
        <v>25152.715</v>
      </c>
    </row>
    <row r="44" spans="1:14" ht="15.75" x14ac:dyDescent="0.25">
      <c r="A44" s="26" t="str">
        <f>CONCATENATE("ТР 2090-",H44,", НП 1/2")</f>
        <v>ТР 2090-10, НП 1/2</v>
      </c>
      <c r="B44" s="27">
        <v>905</v>
      </c>
      <c r="C44" s="27">
        <v>830</v>
      </c>
      <c r="D44" s="28">
        <v>2.2999999999999998</v>
      </c>
      <c r="E44" s="28">
        <v>106</v>
      </c>
      <c r="F44" s="28">
        <v>1793.5280000000002</v>
      </c>
      <c r="G44" s="58"/>
      <c r="H44" s="29">
        <v>10</v>
      </c>
      <c r="I44" s="30">
        <f t="shared" si="10"/>
        <v>23</v>
      </c>
      <c r="J44" s="30">
        <f t="shared" si="11"/>
        <v>1060</v>
      </c>
      <c r="K44" s="31">
        <f t="shared" si="8"/>
        <v>22935.280000000002</v>
      </c>
      <c r="L44" s="31">
        <f t="shared" si="6"/>
        <v>0</v>
      </c>
      <c r="M44" s="31">
        <f t="shared" si="13"/>
        <v>22935.280000000002</v>
      </c>
      <c r="N44" s="31">
        <f t="shared" si="12"/>
        <v>25625.572</v>
      </c>
    </row>
    <row r="45" spans="1:14" ht="15.75" x14ac:dyDescent="0.25">
      <c r="A45" s="2" t="str">
        <f>CONCATENATE("ТР 2100-",H45,", НП 1/2")</f>
        <v>ТР 2100-10, НП 1/2</v>
      </c>
      <c r="B45" s="1">
        <v>1005</v>
      </c>
      <c r="C45" s="1">
        <v>930</v>
      </c>
      <c r="D45" s="10">
        <v>2.4</v>
      </c>
      <c r="E45" s="10">
        <v>117</v>
      </c>
      <c r="F45" s="10">
        <v>1850.3100000000004</v>
      </c>
      <c r="G45" s="58"/>
      <c r="H45" s="11">
        <v>10</v>
      </c>
      <c r="I45" s="8">
        <f t="shared" si="10"/>
        <v>24</v>
      </c>
      <c r="J45" s="8">
        <f t="shared" si="11"/>
        <v>1170</v>
      </c>
      <c r="K45" s="3">
        <f t="shared" si="8"/>
        <v>23503.100000000006</v>
      </c>
      <c r="L45" s="3">
        <f t="shared" si="6"/>
        <v>0</v>
      </c>
      <c r="M45" s="3">
        <f t="shared" si="13"/>
        <v>23503.100000000006</v>
      </c>
      <c r="N45" s="3">
        <f t="shared" si="12"/>
        <v>26278.565000000006</v>
      </c>
    </row>
    <row r="46" spans="1:14" ht="15.75" x14ac:dyDescent="0.25">
      <c r="A46" s="26" t="str">
        <f>CONCATENATE("ТР 2110-",H46,", НП 1/2")</f>
        <v>ТР 2110-10, НП 1/2</v>
      </c>
      <c r="B46" s="27">
        <v>1105</v>
      </c>
      <c r="C46" s="27">
        <v>1030</v>
      </c>
      <c r="D46" s="28">
        <v>2.5</v>
      </c>
      <c r="E46" s="28">
        <v>125</v>
      </c>
      <c r="F46" s="28">
        <v>1928.63</v>
      </c>
      <c r="G46" s="57" t="s">
        <v>19</v>
      </c>
      <c r="H46" s="29">
        <v>10</v>
      </c>
      <c r="I46" s="30">
        <f t="shared" si="10"/>
        <v>25</v>
      </c>
      <c r="J46" s="30">
        <f t="shared" si="11"/>
        <v>1250</v>
      </c>
      <c r="K46" s="31">
        <f t="shared" si="8"/>
        <v>24286.300000000003</v>
      </c>
      <c r="L46" s="31">
        <f t="shared" si="6"/>
        <v>0</v>
      </c>
      <c r="M46" s="31">
        <f t="shared" si="13"/>
        <v>24286.300000000003</v>
      </c>
      <c r="N46" s="31">
        <f t="shared" si="12"/>
        <v>27179.245000000003</v>
      </c>
    </row>
    <row r="47" spans="1:14" ht="15.75" x14ac:dyDescent="0.25">
      <c r="A47" s="2" t="str">
        <f>CONCATENATE("ТР 2120-",H47,", НП 1/2")</f>
        <v>ТР 2120-10, НП 1/2</v>
      </c>
      <c r="B47" s="1">
        <v>1205</v>
      </c>
      <c r="C47" s="1">
        <v>1130</v>
      </c>
      <c r="D47" s="10">
        <v>2.6</v>
      </c>
      <c r="E47" s="10">
        <v>137</v>
      </c>
      <c r="F47" s="10">
        <v>1977.5800000000002</v>
      </c>
      <c r="G47" s="58"/>
      <c r="H47" s="11">
        <v>10</v>
      </c>
      <c r="I47" s="8">
        <f t="shared" si="10"/>
        <v>26</v>
      </c>
      <c r="J47" s="8">
        <f t="shared" si="11"/>
        <v>1370</v>
      </c>
      <c r="K47" s="3">
        <f t="shared" si="8"/>
        <v>24775.800000000003</v>
      </c>
      <c r="L47" s="3">
        <f t="shared" si="6"/>
        <v>0</v>
      </c>
      <c r="M47" s="3">
        <f t="shared" si="13"/>
        <v>24775.800000000003</v>
      </c>
      <c r="N47" s="3">
        <f t="shared" si="12"/>
        <v>27742.170000000002</v>
      </c>
    </row>
    <row r="48" spans="1:14" ht="15.75" x14ac:dyDescent="0.25">
      <c r="A48" s="26" t="str">
        <f>CONCATENATE("ТР 2130-",H48,", НП 1/2")</f>
        <v>ТР 2130-10, НП 1/2</v>
      </c>
      <c r="B48" s="27">
        <v>1305</v>
      </c>
      <c r="C48" s="27">
        <v>1230</v>
      </c>
      <c r="D48" s="28">
        <v>2.7</v>
      </c>
      <c r="E48" s="28">
        <v>146</v>
      </c>
      <c r="F48" s="28">
        <v>2006.9500000000003</v>
      </c>
      <c r="G48" s="58"/>
      <c r="H48" s="29">
        <v>10</v>
      </c>
      <c r="I48" s="30">
        <f t="shared" si="10"/>
        <v>27</v>
      </c>
      <c r="J48" s="30">
        <f t="shared" si="11"/>
        <v>1460</v>
      </c>
      <c r="K48" s="31">
        <f t="shared" si="8"/>
        <v>25069.500000000004</v>
      </c>
      <c r="L48" s="31">
        <f t="shared" si="6"/>
        <v>0</v>
      </c>
      <c r="M48" s="31">
        <f t="shared" si="13"/>
        <v>25069.500000000004</v>
      </c>
      <c r="N48" s="31">
        <f t="shared" si="12"/>
        <v>28079.925000000003</v>
      </c>
    </row>
    <row r="49" spans="1:14" ht="15.75" x14ac:dyDescent="0.25">
      <c r="A49" s="2" t="str">
        <f>CONCATENATE("ТР 2140-",H49,", НП 1/2")</f>
        <v>ТР 2140-10, НП 1/2</v>
      </c>
      <c r="B49" s="1">
        <v>1405</v>
      </c>
      <c r="C49" s="1">
        <v>1330</v>
      </c>
      <c r="D49" s="10">
        <v>2.8</v>
      </c>
      <c r="E49" s="10">
        <v>155</v>
      </c>
      <c r="F49" s="10">
        <v>2036.3200000000002</v>
      </c>
      <c r="G49" s="58"/>
      <c r="H49" s="11">
        <v>10</v>
      </c>
      <c r="I49" s="8">
        <f t="shared" si="10"/>
        <v>28</v>
      </c>
      <c r="J49" s="8">
        <f t="shared" si="11"/>
        <v>1550</v>
      </c>
      <c r="K49" s="3">
        <f t="shared" si="8"/>
        <v>25363.200000000001</v>
      </c>
      <c r="L49" s="3">
        <f t="shared" si="6"/>
        <v>0</v>
      </c>
      <c r="M49" s="3">
        <f t="shared" si="13"/>
        <v>25363.200000000001</v>
      </c>
      <c r="N49" s="3">
        <f t="shared" si="12"/>
        <v>28417.68</v>
      </c>
    </row>
    <row r="50" spans="1:14" ht="15.75" x14ac:dyDescent="0.25">
      <c r="A50" s="26" t="str">
        <f>CONCATENATE("ТР 2150-",H50,", НП 1/2")</f>
        <v>ТР 2150-10, НП 1/2</v>
      </c>
      <c r="B50" s="27">
        <v>1505</v>
      </c>
      <c r="C50" s="27">
        <v>1430</v>
      </c>
      <c r="D50" s="28">
        <v>2.9</v>
      </c>
      <c r="E50" s="28">
        <v>164</v>
      </c>
      <c r="F50" s="28">
        <v>2761.4400000000005</v>
      </c>
      <c r="G50" s="58"/>
      <c r="H50" s="29">
        <v>10</v>
      </c>
      <c r="I50" s="30">
        <f t="shared" si="10"/>
        <v>29</v>
      </c>
      <c r="J50" s="30">
        <f t="shared" si="11"/>
        <v>1640</v>
      </c>
      <c r="K50" s="31">
        <f t="shared" si="8"/>
        <v>32614.400000000005</v>
      </c>
      <c r="L50" s="31">
        <f t="shared" si="6"/>
        <v>0</v>
      </c>
      <c r="M50" s="31">
        <f t="shared" si="13"/>
        <v>32614.400000000005</v>
      </c>
      <c r="N50" s="31">
        <f t="shared" si="12"/>
        <v>36756.560000000005</v>
      </c>
    </row>
    <row r="51" spans="1:14" ht="15.75" x14ac:dyDescent="0.25">
      <c r="A51" s="2" t="str">
        <f>CONCATENATE("ТР 2160-",H51,", НП 1/2")</f>
        <v>ТР 2160-10, НП 1/2</v>
      </c>
      <c r="B51" s="1">
        <v>1605</v>
      </c>
      <c r="C51" s="1">
        <v>1530</v>
      </c>
      <c r="D51" s="10">
        <v>3</v>
      </c>
      <c r="E51" s="10">
        <v>175</v>
      </c>
      <c r="F51" s="10">
        <v>2816.88</v>
      </c>
      <c r="G51" s="58"/>
      <c r="H51" s="11">
        <v>10</v>
      </c>
      <c r="I51" s="8">
        <f t="shared" si="10"/>
        <v>30</v>
      </c>
      <c r="J51" s="8">
        <f t="shared" si="11"/>
        <v>1750</v>
      </c>
      <c r="K51" s="3">
        <f t="shared" si="8"/>
        <v>33168.800000000003</v>
      </c>
      <c r="L51" s="3">
        <f t="shared" si="6"/>
        <v>0</v>
      </c>
      <c r="M51" s="3">
        <f t="shared" si="13"/>
        <v>33168.800000000003</v>
      </c>
      <c r="N51" s="3">
        <f t="shared" si="12"/>
        <v>37394.120000000003</v>
      </c>
    </row>
    <row r="52" spans="1:14" ht="15.75" x14ac:dyDescent="0.25">
      <c r="A52" s="26" t="str">
        <f>CONCATENATE("ТР 2170-",H52,", НП 1/2")</f>
        <v>ТР 2170-10, НП 1/2</v>
      </c>
      <c r="B52" s="27">
        <v>1705</v>
      </c>
      <c r="C52" s="27">
        <v>1630</v>
      </c>
      <c r="D52" s="28">
        <v>3.2</v>
      </c>
      <c r="E52" s="28">
        <v>186</v>
      </c>
      <c r="F52" s="28">
        <v>2882.88</v>
      </c>
      <c r="G52" s="58"/>
      <c r="H52" s="29">
        <v>10</v>
      </c>
      <c r="I52" s="30">
        <f t="shared" si="10"/>
        <v>32</v>
      </c>
      <c r="J52" s="30">
        <f t="shared" si="11"/>
        <v>1860</v>
      </c>
      <c r="K52" s="31">
        <f t="shared" si="8"/>
        <v>33828.800000000003</v>
      </c>
      <c r="L52" s="31">
        <f t="shared" si="6"/>
        <v>0</v>
      </c>
      <c r="M52" s="31">
        <f t="shared" si="13"/>
        <v>33828.800000000003</v>
      </c>
      <c r="N52" s="31">
        <f t="shared" si="12"/>
        <v>38153.120000000003</v>
      </c>
    </row>
    <row r="53" spans="1:14" ht="15.75" x14ac:dyDescent="0.25">
      <c r="A53" s="2" t="str">
        <f>CONCATENATE("ТР 2180-",H53,", НП 1/2")</f>
        <v>ТР 2180-10, НП 1/2</v>
      </c>
      <c r="B53" s="1">
        <v>1805</v>
      </c>
      <c r="C53" s="1">
        <v>1730</v>
      </c>
      <c r="D53" s="10">
        <v>3.3</v>
      </c>
      <c r="E53" s="10">
        <v>196</v>
      </c>
      <c r="F53" s="10">
        <v>2948.88</v>
      </c>
      <c r="G53" s="58"/>
      <c r="H53" s="11">
        <v>10</v>
      </c>
      <c r="I53" s="8">
        <f t="shared" si="10"/>
        <v>33</v>
      </c>
      <c r="J53" s="8">
        <f t="shared" si="11"/>
        <v>1960</v>
      </c>
      <c r="K53" s="3">
        <f t="shared" si="8"/>
        <v>34488.800000000003</v>
      </c>
      <c r="L53" s="3">
        <f t="shared" si="6"/>
        <v>0</v>
      </c>
      <c r="M53" s="3">
        <f t="shared" si="13"/>
        <v>34488.800000000003</v>
      </c>
      <c r="N53" s="3">
        <f t="shared" si="12"/>
        <v>38912.120000000003</v>
      </c>
    </row>
    <row r="54" spans="1:14" ht="6.95" customHeight="1" x14ac:dyDescent="0.25">
      <c r="A54" s="20"/>
      <c r="B54" s="37"/>
      <c r="C54" s="37"/>
      <c r="D54" s="45"/>
      <c r="E54" s="45"/>
      <c r="F54" s="45"/>
      <c r="G54" s="45"/>
      <c r="H54" s="46"/>
      <c r="I54" s="47"/>
      <c r="J54" s="47"/>
      <c r="K54" s="48"/>
      <c r="L54" s="48"/>
      <c r="M54" s="48"/>
      <c r="N54" s="48"/>
    </row>
    <row r="55" spans="1:14" s="49" customFormat="1" ht="12.75" x14ac:dyDescent="0.2">
      <c r="A55" s="49" t="s">
        <v>21</v>
      </c>
      <c r="D55" s="50"/>
      <c r="E55" s="50"/>
      <c r="F55" s="50"/>
      <c r="G55" s="50"/>
      <c r="H55" s="51"/>
      <c r="I55" s="51"/>
      <c r="J55" s="51"/>
      <c r="K55" s="52"/>
      <c r="L55" s="52"/>
      <c r="M55" s="52"/>
      <c r="N55" s="52"/>
    </row>
    <row r="56" spans="1:14" s="53" customFormat="1" ht="12.75" x14ac:dyDescent="0.2">
      <c r="A56" s="49" t="s">
        <v>15</v>
      </c>
      <c r="D56" s="54"/>
      <c r="E56" s="54"/>
      <c r="F56" s="54"/>
      <c r="G56" s="54"/>
      <c r="H56" s="55"/>
      <c r="I56" s="55"/>
      <c r="J56" s="55"/>
      <c r="K56" s="56"/>
      <c r="L56" s="56"/>
      <c r="M56" s="56"/>
      <c r="N56" s="56"/>
    </row>
    <row r="57" spans="1:14" x14ac:dyDescent="0.25">
      <c r="A57" s="32"/>
    </row>
    <row r="58" spans="1:14" ht="23.25" x14ac:dyDescent="0.25">
      <c r="A58" s="43" t="s">
        <v>23</v>
      </c>
    </row>
    <row r="59" spans="1:14" s="20" customFormat="1" x14ac:dyDescent="0.25">
      <c r="C59" s="21"/>
      <c r="D59" s="22"/>
      <c r="E59" s="22"/>
      <c r="F59" s="22"/>
      <c r="G59" s="22"/>
      <c r="H59" s="23"/>
      <c r="I59" s="23"/>
      <c r="J59" s="23"/>
      <c r="K59" s="23"/>
      <c r="L59" s="24">
        <v>0</v>
      </c>
      <c r="M59" s="23"/>
    </row>
    <row r="60" spans="1:14" s="25" customFormat="1" ht="45" customHeight="1" x14ac:dyDescent="0.25">
      <c r="A60" s="4" t="s">
        <v>2</v>
      </c>
      <c r="B60" s="4" t="s">
        <v>12</v>
      </c>
      <c r="C60" s="4" t="s">
        <v>1</v>
      </c>
      <c r="D60" s="9" t="s">
        <v>6</v>
      </c>
      <c r="E60" s="9" t="s">
        <v>8</v>
      </c>
      <c r="F60" s="9" t="s">
        <v>3</v>
      </c>
      <c r="G60" s="59" t="s">
        <v>20</v>
      </c>
      <c r="H60" s="60"/>
      <c r="I60" s="7" t="s">
        <v>5</v>
      </c>
      <c r="J60" s="7" t="s">
        <v>7</v>
      </c>
      <c r="K60" s="5" t="s">
        <v>0</v>
      </c>
      <c r="L60" s="6" t="s">
        <v>4</v>
      </c>
      <c r="M60" s="5" t="s">
        <v>13</v>
      </c>
      <c r="N60" s="5" t="s">
        <v>14</v>
      </c>
    </row>
    <row r="61" spans="1:14" ht="15.75" x14ac:dyDescent="0.25">
      <c r="A61" s="26" t="str">
        <f>CONCATENATE("ТР 2030-",H61,", НП 1/2, ТВ")</f>
        <v>ТР 2030-10, НП 1/2, ТВ</v>
      </c>
      <c r="B61" s="27">
        <v>305</v>
      </c>
      <c r="C61" s="27">
        <v>230</v>
      </c>
      <c r="D61" s="28">
        <v>0.62</v>
      </c>
      <c r="E61" s="28">
        <v>49</v>
      </c>
      <c r="F61" s="28">
        <v>1493.9540000000002</v>
      </c>
      <c r="G61" s="57" t="s">
        <v>18</v>
      </c>
      <c r="H61" s="29">
        <v>10</v>
      </c>
      <c r="I61" s="30">
        <f>D61*H61</f>
        <v>6.2</v>
      </c>
      <c r="J61" s="30">
        <f>E61*H61</f>
        <v>490</v>
      </c>
      <c r="K61" s="31">
        <f t="shared" ref="K61:K78" si="14">IF(H61=0,0,F61*H61+7000)</f>
        <v>21939.54</v>
      </c>
      <c r="L61" s="31">
        <f t="shared" ref="L61:L78" si="15">K61*$L$59/100</f>
        <v>0</v>
      </c>
      <c r="M61" s="31">
        <f t="shared" ref="M61:M78" si="16">K61-L61</f>
        <v>21939.54</v>
      </c>
      <c r="N61" s="31">
        <f>IF(H61=0,0,F61*H61*1.15+7000-L61)</f>
        <v>24180.471000000001</v>
      </c>
    </row>
    <row r="62" spans="1:14" ht="15.75" x14ac:dyDescent="0.25">
      <c r="A62" s="2" t="str">
        <f>CONCATENATE("ТР 2037-",H62,", НП 1/2, ТВ")</f>
        <v>ТР 2037-10, НП 1/2, ТВ</v>
      </c>
      <c r="B62" s="1">
        <v>375</v>
      </c>
      <c r="C62" s="1">
        <v>300</v>
      </c>
      <c r="D62" s="10">
        <v>0.7</v>
      </c>
      <c r="E62" s="10">
        <v>55</v>
      </c>
      <c r="F62" s="10">
        <v>1546.8200000000002</v>
      </c>
      <c r="G62" s="58"/>
      <c r="H62" s="11">
        <v>10</v>
      </c>
      <c r="I62" s="8">
        <f>D62*H62</f>
        <v>7</v>
      </c>
      <c r="J62" s="8">
        <f>E62*H62</f>
        <v>550</v>
      </c>
      <c r="K62" s="3">
        <f t="shared" si="14"/>
        <v>22468.2</v>
      </c>
      <c r="L62" s="3">
        <f t="shared" si="15"/>
        <v>0</v>
      </c>
      <c r="M62" s="3">
        <f t="shared" si="16"/>
        <v>22468.2</v>
      </c>
      <c r="N62" s="3">
        <f>IF(H62=0,0,F62*H62*1.15+7000-L62)</f>
        <v>24788.43</v>
      </c>
    </row>
    <row r="63" spans="1:14" ht="15.75" x14ac:dyDescent="0.25">
      <c r="A63" s="26" t="str">
        <f>CONCATENATE("ТР 2040-",H63,", НП 1/2, ТВ")</f>
        <v>ТР 2040-10, НП 1/2, ТВ</v>
      </c>
      <c r="B63" s="27">
        <v>405</v>
      </c>
      <c r="C63" s="27">
        <v>330</v>
      </c>
      <c r="D63" s="28">
        <v>0.9</v>
      </c>
      <c r="E63" s="28">
        <v>60</v>
      </c>
      <c r="F63" s="28">
        <v>1556.6100000000001</v>
      </c>
      <c r="G63" s="58"/>
      <c r="H63" s="29">
        <v>10</v>
      </c>
      <c r="I63" s="30">
        <f t="shared" ref="I63:I78" si="17">D63*H63</f>
        <v>9</v>
      </c>
      <c r="J63" s="30">
        <f t="shared" ref="J63:J78" si="18">E63*H63</f>
        <v>600</v>
      </c>
      <c r="K63" s="31">
        <f t="shared" si="14"/>
        <v>22566.100000000002</v>
      </c>
      <c r="L63" s="31">
        <f t="shared" si="15"/>
        <v>0</v>
      </c>
      <c r="M63" s="31">
        <f t="shared" si="16"/>
        <v>22566.100000000002</v>
      </c>
      <c r="N63" s="31">
        <f t="shared" ref="N63:N78" si="19">IF(H63=0,0,F63*H63*1.15+7000-L63)</f>
        <v>24901.014999999999</v>
      </c>
    </row>
    <row r="64" spans="1:14" ht="15.75" x14ac:dyDescent="0.25">
      <c r="A64" s="2" t="str">
        <f>CONCATENATE("ТР 2050-",H64,", НП 1/2, ТВ")</f>
        <v>ТР 2050-10, НП 1/2, ТВ</v>
      </c>
      <c r="B64" s="1">
        <v>505</v>
      </c>
      <c r="C64" s="1">
        <v>430</v>
      </c>
      <c r="D64" s="10">
        <v>1</v>
      </c>
      <c r="E64" s="10">
        <v>71</v>
      </c>
      <c r="F64" s="10">
        <v>1589.8960000000002</v>
      </c>
      <c r="G64" s="58"/>
      <c r="H64" s="11">
        <v>10</v>
      </c>
      <c r="I64" s="8">
        <f t="shared" si="17"/>
        <v>10</v>
      </c>
      <c r="J64" s="8">
        <f t="shared" si="18"/>
        <v>710</v>
      </c>
      <c r="K64" s="3">
        <f t="shared" si="14"/>
        <v>22898.960000000003</v>
      </c>
      <c r="L64" s="3">
        <f t="shared" si="15"/>
        <v>0</v>
      </c>
      <c r="M64" s="3">
        <f t="shared" si="16"/>
        <v>22898.960000000003</v>
      </c>
      <c r="N64" s="3">
        <f t="shared" si="19"/>
        <v>25283.804</v>
      </c>
    </row>
    <row r="65" spans="1:14" ht="15.75" x14ac:dyDescent="0.25">
      <c r="A65" s="26" t="str">
        <f>CONCATENATE("ТР 2057-",H65,", НП 1/2, ТВ")</f>
        <v>ТР 2057-10, НП 1/2, ТВ</v>
      </c>
      <c r="B65" s="27">
        <v>575</v>
      </c>
      <c r="C65" s="27">
        <v>500</v>
      </c>
      <c r="D65" s="28">
        <v>1.3</v>
      </c>
      <c r="E65" s="28">
        <v>77</v>
      </c>
      <c r="F65" s="28">
        <v>1615.3500000000001</v>
      </c>
      <c r="G65" s="58"/>
      <c r="H65" s="29">
        <v>10</v>
      </c>
      <c r="I65" s="30">
        <f t="shared" si="17"/>
        <v>13</v>
      </c>
      <c r="J65" s="30">
        <f t="shared" si="18"/>
        <v>770</v>
      </c>
      <c r="K65" s="31">
        <f t="shared" si="14"/>
        <v>23153.5</v>
      </c>
      <c r="L65" s="31">
        <f t="shared" si="15"/>
        <v>0</v>
      </c>
      <c r="M65" s="31">
        <f t="shared" si="16"/>
        <v>23153.5</v>
      </c>
      <c r="N65" s="31">
        <f t="shared" si="19"/>
        <v>25576.525000000001</v>
      </c>
    </row>
    <row r="66" spans="1:14" ht="15.75" x14ac:dyDescent="0.25">
      <c r="A66" s="2" t="str">
        <f>CONCATENATE("ТР 2060-",H66,", НП 1/2, ТВ")</f>
        <v>ТР 2060-10, НП 1/2, ТВ</v>
      </c>
      <c r="B66" s="1">
        <v>605</v>
      </c>
      <c r="C66" s="1">
        <v>530</v>
      </c>
      <c r="D66" s="10">
        <v>1.6</v>
      </c>
      <c r="E66" s="10">
        <v>81</v>
      </c>
      <c r="F66" s="10">
        <v>1658.4260000000002</v>
      </c>
      <c r="G66" s="58"/>
      <c r="H66" s="11">
        <v>10</v>
      </c>
      <c r="I66" s="8">
        <f t="shared" si="17"/>
        <v>16</v>
      </c>
      <c r="J66" s="8">
        <f t="shared" si="18"/>
        <v>810</v>
      </c>
      <c r="K66" s="3">
        <f t="shared" si="14"/>
        <v>23584.260000000002</v>
      </c>
      <c r="L66" s="3">
        <f t="shared" si="15"/>
        <v>0</v>
      </c>
      <c r="M66" s="3">
        <f t="shared" si="16"/>
        <v>23584.260000000002</v>
      </c>
      <c r="N66" s="3">
        <f t="shared" si="19"/>
        <v>26071.899000000001</v>
      </c>
    </row>
    <row r="67" spans="1:14" ht="15.75" x14ac:dyDescent="0.25">
      <c r="A67" s="26" t="str">
        <f>CONCATENATE("ТР 2070-",H67,", НП 1/2, ТВ")</f>
        <v>ТР 2070-10, НП 1/2, ТВ</v>
      </c>
      <c r="B67" s="27">
        <v>705</v>
      </c>
      <c r="C67" s="27">
        <v>630</v>
      </c>
      <c r="D67" s="28">
        <v>1.8</v>
      </c>
      <c r="E67" s="28">
        <v>90</v>
      </c>
      <c r="F67" s="28">
        <v>1719.124</v>
      </c>
      <c r="G67" s="58"/>
      <c r="H67" s="29">
        <v>10</v>
      </c>
      <c r="I67" s="30">
        <f t="shared" si="17"/>
        <v>18</v>
      </c>
      <c r="J67" s="30">
        <f t="shared" si="18"/>
        <v>900</v>
      </c>
      <c r="K67" s="31">
        <f t="shared" si="14"/>
        <v>24191.24</v>
      </c>
      <c r="L67" s="31">
        <f t="shared" si="15"/>
        <v>0</v>
      </c>
      <c r="M67" s="31">
        <f t="shared" si="16"/>
        <v>24191.24</v>
      </c>
      <c r="N67" s="31">
        <f t="shared" si="19"/>
        <v>26769.925999999999</v>
      </c>
    </row>
    <row r="68" spans="1:14" ht="15.75" x14ac:dyDescent="0.25">
      <c r="A68" s="2" t="str">
        <f>CONCATENATE("ТР 2080-",H68,", НП 1/2, ТВ")</f>
        <v>ТР 2080-10, НП 1/2, ТВ</v>
      </c>
      <c r="B68" s="1">
        <v>805</v>
      </c>
      <c r="C68" s="1">
        <v>730</v>
      </c>
      <c r="D68" s="10">
        <v>2</v>
      </c>
      <c r="E68" s="10">
        <v>98</v>
      </c>
      <c r="F68" s="10">
        <v>1752.4100000000003</v>
      </c>
      <c r="G68" s="58"/>
      <c r="H68" s="11">
        <v>10</v>
      </c>
      <c r="I68" s="8">
        <f t="shared" si="17"/>
        <v>20</v>
      </c>
      <c r="J68" s="8">
        <f t="shared" si="18"/>
        <v>980</v>
      </c>
      <c r="K68" s="3">
        <f t="shared" si="14"/>
        <v>24524.100000000002</v>
      </c>
      <c r="L68" s="3">
        <f t="shared" si="15"/>
        <v>0</v>
      </c>
      <c r="M68" s="3">
        <f t="shared" si="16"/>
        <v>24524.100000000002</v>
      </c>
      <c r="N68" s="3">
        <f t="shared" si="19"/>
        <v>27152.715</v>
      </c>
    </row>
    <row r="69" spans="1:14" ht="15.75" x14ac:dyDescent="0.25">
      <c r="A69" s="26" t="str">
        <f>CONCATENATE("ТР 2090-",H69,", НП 1/2, ТВ")</f>
        <v>ТР 2090-10, НП 1/2, ТВ</v>
      </c>
      <c r="B69" s="27">
        <v>905</v>
      </c>
      <c r="C69" s="27">
        <v>830</v>
      </c>
      <c r="D69" s="28">
        <v>2.2999999999999998</v>
      </c>
      <c r="E69" s="28">
        <v>106</v>
      </c>
      <c r="F69" s="28">
        <v>1793.5280000000002</v>
      </c>
      <c r="G69" s="58"/>
      <c r="H69" s="29">
        <v>10</v>
      </c>
      <c r="I69" s="30">
        <f t="shared" si="17"/>
        <v>23</v>
      </c>
      <c r="J69" s="30">
        <f t="shared" si="18"/>
        <v>1060</v>
      </c>
      <c r="K69" s="31">
        <f t="shared" si="14"/>
        <v>24935.280000000002</v>
      </c>
      <c r="L69" s="31">
        <f t="shared" si="15"/>
        <v>0</v>
      </c>
      <c r="M69" s="31">
        <f t="shared" si="16"/>
        <v>24935.280000000002</v>
      </c>
      <c r="N69" s="31">
        <f t="shared" si="19"/>
        <v>27625.572</v>
      </c>
    </row>
    <row r="70" spans="1:14" ht="15.75" x14ac:dyDescent="0.25">
      <c r="A70" s="2" t="str">
        <f>CONCATENATE("ТР 2100-",H70,", НП 1/2, ТВ")</f>
        <v>ТР 2100-10, НП 1/2, ТВ</v>
      </c>
      <c r="B70" s="1">
        <v>1005</v>
      </c>
      <c r="C70" s="1">
        <v>930</v>
      </c>
      <c r="D70" s="10">
        <v>2.4</v>
      </c>
      <c r="E70" s="10">
        <v>117</v>
      </c>
      <c r="F70" s="10">
        <v>1850.3100000000004</v>
      </c>
      <c r="G70" s="58"/>
      <c r="H70" s="11">
        <v>10</v>
      </c>
      <c r="I70" s="8">
        <f t="shared" si="17"/>
        <v>24</v>
      </c>
      <c r="J70" s="8">
        <f t="shared" si="18"/>
        <v>1170</v>
      </c>
      <c r="K70" s="3">
        <f t="shared" si="14"/>
        <v>25503.100000000006</v>
      </c>
      <c r="L70" s="3">
        <f t="shared" si="15"/>
        <v>0</v>
      </c>
      <c r="M70" s="3">
        <f t="shared" si="16"/>
        <v>25503.100000000006</v>
      </c>
      <c r="N70" s="3">
        <f t="shared" si="19"/>
        <v>28278.565000000006</v>
      </c>
    </row>
    <row r="71" spans="1:14" ht="15.75" x14ac:dyDescent="0.25">
      <c r="A71" s="26" t="str">
        <f>CONCATENATE("ТР 2110-",H71,", НП 1/2, ТВ")</f>
        <v>ТР 2110-10, НП 1/2, ТВ</v>
      </c>
      <c r="B71" s="27">
        <v>1105</v>
      </c>
      <c r="C71" s="27">
        <v>1030</v>
      </c>
      <c r="D71" s="28">
        <v>2.5</v>
      </c>
      <c r="E71" s="28">
        <v>125</v>
      </c>
      <c r="F71" s="28">
        <v>1928.63</v>
      </c>
      <c r="G71" s="57" t="s">
        <v>19</v>
      </c>
      <c r="H71" s="29">
        <v>10</v>
      </c>
      <c r="I71" s="30">
        <f t="shared" si="17"/>
        <v>25</v>
      </c>
      <c r="J71" s="30">
        <f t="shared" si="18"/>
        <v>1250</v>
      </c>
      <c r="K71" s="31">
        <f t="shared" si="14"/>
        <v>26286.300000000003</v>
      </c>
      <c r="L71" s="31">
        <f t="shared" si="15"/>
        <v>0</v>
      </c>
      <c r="M71" s="31">
        <f t="shared" si="16"/>
        <v>26286.300000000003</v>
      </c>
      <c r="N71" s="31">
        <f t="shared" si="19"/>
        <v>29179.245000000003</v>
      </c>
    </row>
    <row r="72" spans="1:14" ht="15.75" x14ac:dyDescent="0.25">
      <c r="A72" s="2" t="str">
        <f>CONCATENATE("ТР 2120-",H72,", НП 1/2, ТВ")</f>
        <v>ТР 2120-10, НП 1/2, ТВ</v>
      </c>
      <c r="B72" s="1">
        <v>1205</v>
      </c>
      <c r="C72" s="1">
        <v>1130</v>
      </c>
      <c r="D72" s="10">
        <v>2.6</v>
      </c>
      <c r="E72" s="10">
        <v>137</v>
      </c>
      <c r="F72" s="10">
        <v>1977.5800000000002</v>
      </c>
      <c r="G72" s="58"/>
      <c r="H72" s="11">
        <v>10</v>
      </c>
      <c r="I72" s="8">
        <f t="shared" si="17"/>
        <v>26</v>
      </c>
      <c r="J72" s="8">
        <f t="shared" si="18"/>
        <v>1370</v>
      </c>
      <c r="K72" s="3">
        <f t="shared" si="14"/>
        <v>26775.800000000003</v>
      </c>
      <c r="L72" s="3">
        <f t="shared" si="15"/>
        <v>0</v>
      </c>
      <c r="M72" s="3">
        <f t="shared" si="16"/>
        <v>26775.800000000003</v>
      </c>
      <c r="N72" s="3">
        <f t="shared" si="19"/>
        <v>29742.170000000002</v>
      </c>
    </row>
    <row r="73" spans="1:14" ht="15.75" x14ac:dyDescent="0.25">
      <c r="A73" s="26" t="str">
        <f>CONCATENATE("ТР 2130-",H73,", НП 1/2, ТВ")</f>
        <v>ТР 2130-10, НП 1/2, ТВ</v>
      </c>
      <c r="B73" s="27">
        <v>1305</v>
      </c>
      <c r="C73" s="27">
        <v>1230</v>
      </c>
      <c r="D73" s="28">
        <v>2.7</v>
      </c>
      <c r="E73" s="28">
        <v>146</v>
      </c>
      <c r="F73" s="28">
        <v>2006.9500000000003</v>
      </c>
      <c r="G73" s="58"/>
      <c r="H73" s="29">
        <v>10</v>
      </c>
      <c r="I73" s="30">
        <f t="shared" si="17"/>
        <v>27</v>
      </c>
      <c r="J73" s="30">
        <f t="shared" si="18"/>
        <v>1460</v>
      </c>
      <c r="K73" s="31">
        <f t="shared" si="14"/>
        <v>27069.500000000004</v>
      </c>
      <c r="L73" s="31">
        <f t="shared" si="15"/>
        <v>0</v>
      </c>
      <c r="M73" s="31">
        <f t="shared" si="16"/>
        <v>27069.500000000004</v>
      </c>
      <c r="N73" s="31">
        <f t="shared" si="19"/>
        <v>30079.925000000003</v>
      </c>
    </row>
    <row r="74" spans="1:14" ht="15.75" x14ac:dyDescent="0.25">
      <c r="A74" s="2" t="str">
        <f>CONCATENATE("ТР 2140-",H74,", НП 1/2, ТВ")</f>
        <v>ТР 2140-10, НП 1/2, ТВ</v>
      </c>
      <c r="B74" s="1">
        <v>1405</v>
      </c>
      <c r="C74" s="1">
        <v>1330</v>
      </c>
      <c r="D74" s="10">
        <v>2.8</v>
      </c>
      <c r="E74" s="10">
        <v>155</v>
      </c>
      <c r="F74" s="10">
        <v>2036.3200000000002</v>
      </c>
      <c r="G74" s="58"/>
      <c r="H74" s="11">
        <v>10</v>
      </c>
      <c r="I74" s="8">
        <f t="shared" si="17"/>
        <v>28</v>
      </c>
      <c r="J74" s="8">
        <f t="shared" si="18"/>
        <v>1550</v>
      </c>
      <c r="K74" s="3">
        <f t="shared" si="14"/>
        <v>27363.200000000001</v>
      </c>
      <c r="L74" s="3">
        <f t="shared" si="15"/>
        <v>0</v>
      </c>
      <c r="M74" s="3">
        <f t="shared" si="16"/>
        <v>27363.200000000001</v>
      </c>
      <c r="N74" s="3">
        <f t="shared" si="19"/>
        <v>30417.68</v>
      </c>
    </row>
    <row r="75" spans="1:14" ht="15.75" x14ac:dyDescent="0.25">
      <c r="A75" s="26" t="str">
        <f>CONCATENATE("ТР 2150-",H75,", НП 1/2, ТВ")</f>
        <v>ТР 2150-10, НП 1/2, ТВ</v>
      </c>
      <c r="B75" s="27">
        <v>1505</v>
      </c>
      <c r="C75" s="27">
        <v>1430</v>
      </c>
      <c r="D75" s="28">
        <v>2.9</v>
      </c>
      <c r="E75" s="28">
        <v>164</v>
      </c>
      <c r="F75" s="28">
        <v>2761.4400000000005</v>
      </c>
      <c r="G75" s="58"/>
      <c r="H75" s="29">
        <v>10</v>
      </c>
      <c r="I75" s="30">
        <f t="shared" si="17"/>
        <v>29</v>
      </c>
      <c r="J75" s="30">
        <f t="shared" si="18"/>
        <v>1640</v>
      </c>
      <c r="K75" s="31">
        <f t="shared" si="14"/>
        <v>34614.400000000009</v>
      </c>
      <c r="L75" s="31">
        <f t="shared" si="15"/>
        <v>0</v>
      </c>
      <c r="M75" s="31">
        <f t="shared" si="16"/>
        <v>34614.400000000009</v>
      </c>
      <c r="N75" s="31">
        <f t="shared" si="19"/>
        <v>38756.560000000005</v>
      </c>
    </row>
    <row r="76" spans="1:14" ht="15.75" x14ac:dyDescent="0.25">
      <c r="A76" s="2" t="str">
        <f>CONCATENATE("ТР 2160-",H76,", НП 1/2, ТВ")</f>
        <v>ТР 2160-10, НП 1/2, ТВ</v>
      </c>
      <c r="B76" s="1">
        <v>1605</v>
      </c>
      <c r="C76" s="1">
        <v>1530</v>
      </c>
      <c r="D76" s="10">
        <v>3</v>
      </c>
      <c r="E76" s="10">
        <v>175</v>
      </c>
      <c r="F76" s="10">
        <v>2816.88</v>
      </c>
      <c r="G76" s="58"/>
      <c r="H76" s="11">
        <v>10</v>
      </c>
      <c r="I76" s="8">
        <f t="shared" si="17"/>
        <v>30</v>
      </c>
      <c r="J76" s="8">
        <f t="shared" si="18"/>
        <v>1750</v>
      </c>
      <c r="K76" s="3">
        <f t="shared" si="14"/>
        <v>35168.800000000003</v>
      </c>
      <c r="L76" s="3">
        <f t="shared" si="15"/>
        <v>0</v>
      </c>
      <c r="M76" s="3">
        <f t="shared" si="16"/>
        <v>35168.800000000003</v>
      </c>
      <c r="N76" s="3">
        <f t="shared" si="19"/>
        <v>39394.120000000003</v>
      </c>
    </row>
    <row r="77" spans="1:14" ht="15.75" x14ac:dyDescent="0.25">
      <c r="A77" s="26" t="str">
        <f>CONCATENATE("ТР 2170-",H77,", НП 1/2, ТВ")</f>
        <v>ТР 2170-10, НП 1/2, ТВ</v>
      </c>
      <c r="B77" s="27">
        <v>1705</v>
      </c>
      <c r="C77" s="27">
        <v>1630</v>
      </c>
      <c r="D77" s="28">
        <v>3.2</v>
      </c>
      <c r="E77" s="28">
        <v>186</v>
      </c>
      <c r="F77" s="28">
        <v>2882.88</v>
      </c>
      <c r="G77" s="58"/>
      <c r="H77" s="29">
        <v>10</v>
      </c>
      <c r="I77" s="30">
        <f t="shared" si="17"/>
        <v>32</v>
      </c>
      <c r="J77" s="30">
        <f t="shared" si="18"/>
        <v>1860</v>
      </c>
      <c r="K77" s="31">
        <f t="shared" si="14"/>
        <v>35828.800000000003</v>
      </c>
      <c r="L77" s="31">
        <f t="shared" si="15"/>
        <v>0</v>
      </c>
      <c r="M77" s="31">
        <f t="shared" si="16"/>
        <v>35828.800000000003</v>
      </c>
      <c r="N77" s="31">
        <f t="shared" si="19"/>
        <v>40153.120000000003</v>
      </c>
    </row>
    <row r="78" spans="1:14" ht="15.75" x14ac:dyDescent="0.25">
      <c r="A78" s="2" t="str">
        <f>CONCATENATE("ТР 2180-",H78,", НП 1/2, ТВ")</f>
        <v>ТР 2180-10, НП 1/2, ТВ</v>
      </c>
      <c r="B78" s="1">
        <v>1805</v>
      </c>
      <c r="C78" s="1">
        <v>1730</v>
      </c>
      <c r="D78" s="10">
        <v>3.3</v>
      </c>
      <c r="E78" s="10">
        <v>196</v>
      </c>
      <c r="F78" s="10">
        <v>2948.88</v>
      </c>
      <c r="G78" s="58"/>
      <c r="H78" s="11">
        <v>10</v>
      </c>
      <c r="I78" s="8">
        <f t="shared" si="17"/>
        <v>33</v>
      </c>
      <c r="J78" s="8">
        <f t="shared" si="18"/>
        <v>1960</v>
      </c>
      <c r="K78" s="3">
        <f t="shared" si="14"/>
        <v>36488.800000000003</v>
      </c>
      <c r="L78" s="3">
        <f t="shared" si="15"/>
        <v>0</v>
      </c>
      <c r="M78" s="3">
        <f t="shared" si="16"/>
        <v>36488.800000000003</v>
      </c>
      <c r="N78" s="3">
        <f t="shared" si="19"/>
        <v>40912.120000000003</v>
      </c>
    </row>
    <row r="79" spans="1:14" ht="6.95" customHeight="1" x14ac:dyDescent="0.25">
      <c r="A79" s="20"/>
      <c r="B79" s="37"/>
      <c r="C79" s="37"/>
      <c r="D79" s="45"/>
      <c r="E79" s="45"/>
      <c r="F79" s="45"/>
      <c r="G79" s="45"/>
      <c r="H79" s="46"/>
      <c r="I79" s="47"/>
      <c r="J79" s="47"/>
      <c r="K79" s="48"/>
      <c r="L79" s="48"/>
      <c r="M79" s="48"/>
      <c r="N79" s="48"/>
    </row>
    <row r="80" spans="1:14" s="49" customFormat="1" ht="12.75" x14ac:dyDescent="0.2">
      <c r="A80" s="49" t="s">
        <v>21</v>
      </c>
      <c r="D80" s="50"/>
      <c r="E80" s="50"/>
      <c r="F80" s="50"/>
      <c r="G80" s="50"/>
      <c r="H80" s="51"/>
      <c r="I80" s="51"/>
      <c r="J80" s="51"/>
      <c r="K80" s="52"/>
      <c r="L80" s="52"/>
      <c r="M80" s="52"/>
      <c r="N80" s="52"/>
    </row>
    <row r="81" spans="1:14" s="53" customFormat="1" ht="12.75" x14ac:dyDescent="0.2">
      <c r="A81" s="49" t="s">
        <v>15</v>
      </c>
      <c r="D81" s="54"/>
      <c r="E81" s="54"/>
      <c r="F81" s="54"/>
      <c r="G81" s="54"/>
      <c r="H81" s="55"/>
      <c r="I81" s="55"/>
      <c r="J81" s="55"/>
      <c r="K81" s="56"/>
      <c r="L81" s="56"/>
      <c r="M81" s="56"/>
      <c r="N81" s="56"/>
    </row>
    <row r="82" spans="1:14" x14ac:dyDescent="0.25">
      <c r="A82" s="32"/>
    </row>
    <row r="83" spans="1:14" s="20" customFormat="1" ht="23.25" x14ac:dyDescent="0.25">
      <c r="A83" s="43" t="s">
        <v>17</v>
      </c>
      <c r="D83" s="36"/>
      <c r="E83" s="36"/>
      <c r="F83" s="36"/>
      <c r="G83" s="36"/>
      <c r="H83" s="37"/>
      <c r="I83" s="37"/>
      <c r="J83" s="37"/>
      <c r="K83" s="38"/>
      <c r="L83" s="38"/>
      <c r="M83" s="38"/>
      <c r="N83" s="38"/>
    </row>
    <row r="84" spans="1:14" s="20" customFormat="1" ht="18.75" x14ac:dyDescent="0.25">
      <c r="C84" s="21"/>
      <c r="D84" s="34"/>
      <c r="E84" s="34"/>
      <c r="F84" s="34"/>
      <c r="G84" s="34"/>
      <c r="H84" s="35"/>
      <c r="I84" s="35"/>
      <c r="J84" s="35"/>
      <c r="K84" s="23"/>
      <c r="L84" s="24">
        <v>0</v>
      </c>
      <c r="M84" s="23"/>
    </row>
    <row r="85" spans="1:14" s="25" customFormat="1" ht="45" customHeight="1" x14ac:dyDescent="0.25">
      <c r="A85" s="4" t="s">
        <v>2</v>
      </c>
      <c r="B85" s="4" t="s">
        <v>12</v>
      </c>
      <c r="C85" s="4" t="s">
        <v>1</v>
      </c>
      <c r="D85" s="9" t="s">
        <v>6</v>
      </c>
      <c r="E85" s="9" t="s">
        <v>8</v>
      </c>
      <c r="F85" s="9" t="s">
        <v>3</v>
      </c>
      <c r="G85" s="59" t="s">
        <v>20</v>
      </c>
      <c r="H85" s="60"/>
      <c r="I85" s="7" t="s">
        <v>5</v>
      </c>
      <c r="J85" s="7" t="s">
        <v>7</v>
      </c>
      <c r="K85" s="5" t="s">
        <v>0</v>
      </c>
      <c r="L85" s="6" t="s">
        <v>4</v>
      </c>
      <c r="M85" s="5" t="s">
        <v>13</v>
      </c>
      <c r="N85" s="5" t="s">
        <v>14</v>
      </c>
    </row>
    <row r="86" spans="1:14" ht="15.75" x14ac:dyDescent="0.25">
      <c r="A86" s="26" t="str">
        <f>CONCATENATE("ТР 3030-",H86,", БП 3/4")</f>
        <v>ТР 3030-10, БП 3/4</v>
      </c>
      <c r="B86" s="27">
        <v>305</v>
      </c>
      <c r="C86" s="27">
        <v>230</v>
      </c>
      <c r="D86" s="28">
        <v>0.95</v>
      </c>
      <c r="E86" s="28">
        <v>73</v>
      </c>
      <c r="F86" s="28">
        <v>1781.7800000000002</v>
      </c>
      <c r="G86" s="57" t="s">
        <v>18</v>
      </c>
      <c r="H86" s="29">
        <v>10</v>
      </c>
      <c r="I86" s="30">
        <f>D86*H86</f>
        <v>9.5</v>
      </c>
      <c r="J86" s="30">
        <f>E86*H86</f>
        <v>730</v>
      </c>
      <c r="K86" s="31">
        <f t="shared" ref="K86:K103" si="20">IF(H86=0,0,F86*H86)</f>
        <v>17817.800000000003</v>
      </c>
      <c r="L86" s="31">
        <f>K86*$L$84/100</f>
        <v>0</v>
      </c>
      <c r="M86" s="31">
        <f t="shared" ref="M86:M103" si="21">K86-L86</f>
        <v>17817.800000000003</v>
      </c>
      <c r="N86" s="31">
        <f>K86*1.15-L86</f>
        <v>20490.47</v>
      </c>
    </row>
    <row r="87" spans="1:14" ht="15.75" x14ac:dyDescent="0.25">
      <c r="A87" s="2" t="str">
        <f>CONCATENATE("ТР 3037-",H87,", БП 3/4")</f>
        <v>ТР 3037-10, БП 3/4</v>
      </c>
      <c r="B87" s="1">
        <v>375</v>
      </c>
      <c r="C87" s="1">
        <v>300</v>
      </c>
      <c r="D87" s="10">
        <v>1.2</v>
      </c>
      <c r="E87" s="10">
        <v>80</v>
      </c>
      <c r="F87" s="10">
        <v>1811.15</v>
      </c>
      <c r="G87" s="58"/>
      <c r="H87" s="11">
        <v>10</v>
      </c>
      <c r="I87" s="8">
        <f>D87*H87</f>
        <v>12</v>
      </c>
      <c r="J87" s="8">
        <f>E87*H87</f>
        <v>800</v>
      </c>
      <c r="K87" s="3">
        <f t="shared" si="20"/>
        <v>18111.5</v>
      </c>
      <c r="L87" s="3">
        <f t="shared" ref="L87:L103" si="22">K87*$L$84/100</f>
        <v>0</v>
      </c>
      <c r="M87" s="3">
        <f t="shared" si="21"/>
        <v>18111.5</v>
      </c>
      <c r="N87" s="3">
        <f>K87*1.15-L87</f>
        <v>20828.224999999999</v>
      </c>
    </row>
    <row r="88" spans="1:14" ht="15.75" x14ac:dyDescent="0.25">
      <c r="A88" s="26" t="str">
        <f>CONCATENATE("ТР 3040-",H88,", БП 3/4")</f>
        <v>ТР 3040-10, БП 3/4</v>
      </c>
      <c r="B88" s="27">
        <v>405</v>
      </c>
      <c r="C88" s="27">
        <v>330</v>
      </c>
      <c r="D88" s="28">
        <v>1.3</v>
      </c>
      <c r="E88" s="28">
        <v>86</v>
      </c>
      <c r="F88" s="28">
        <v>1854.2260000000003</v>
      </c>
      <c r="G88" s="58"/>
      <c r="H88" s="29">
        <v>10</v>
      </c>
      <c r="I88" s="30">
        <f t="shared" ref="I88:I103" si="23">D88*H88</f>
        <v>13</v>
      </c>
      <c r="J88" s="30">
        <f t="shared" ref="J88:J103" si="24">E88*H88</f>
        <v>860</v>
      </c>
      <c r="K88" s="31">
        <f t="shared" si="20"/>
        <v>18542.260000000002</v>
      </c>
      <c r="L88" s="31">
        <f t="shared" si="22"/>
        <v>0</v>
      </c>
      <c r="M88" s="31">
        <f t="shared" si="21"/>
        <v>18542.260000000002</v>
      </c>
      <c r="N88" s="31">
        <f t="shared" ref="N88:N103" si="25">K88*1.15-L88</f>
        <v>21323.599000000002</v>
      </c>
    </row>
    <row r="89" spans="1:14" ht="15.75" x14ac:dyDescent="0.25">
      <c r="A89" s="2" t="str">
        <f>CONCATENATE("ТР 3050-",H89,", БП 3/4")</f>
        <v>ТР 3050-10, БП 3/4</v>
      </c>
      <c r="B89" s="1">
        <v>505</v>
      </c>
      <c r="C89" s="1">
        <v>430</v>
      </c>
      <c r="D89" s="10">
        <v>1.4</v>
      </c>
      <c r="E89" s="10">
        <v>101</v>
      </c>
      <c r="F89" s="10">
        <v>1864.0160000000001</v>
      </c>
      <c r="G89" s="58"/>
      <c r="H89" s="11">
        <v>10</v>
      </c>
      <c r="I89" s="8">
        <f t="shared" si="23"/>
        <v>14</v>
      </c>
      <c r="J89" s="8">
        <f t="shared" si="24"/>
        <v>1010</v>
      </c>
      <c r="K89" s="3">
        <f t="shared" si="20"/>
        <v>18640.16</v>
      </c>
      <c r="L89" s="3">
        <f t="shared" si="22"/>
        <v>0</v>
      </c>
      <c r="M89" s="3">
        <f t="shared" si="21"/>
        <v>18640.16</v>
      </c>
      <c r="N89" s="3">
        <f t="shared" si="25"/>
        <v>21436.183999999997</v>
      </c>
    </row>
    <row r="90" spans="1:14" ht="15.75" x14ac:dyDescent="0.25">
      <c r="A90" s="26" t="str">
        <f>CONCATENATE("ТР 3057-",H90,", БП 3/4")</f>
        <v>ТР 3057-10, БП 3/4</v>
      </c>
      <c r="B90" s="27">
        <v>575</v>
      </c>
      <c r="C90" s="27">
        <v>500</v>
      </c>
      <c r="D90" s="28">
        <v>1.5</v>
      </c>
      <c r="E90" s="28">
        <v>108</v>
      </c>
      <c r="F90" s="28">
        <v>1899.2600000000002</v>
      </c>
      <c r="G90" s="58"/>
      <c r="H90" s="29">
        <v>10</v>
      </c>
      <c r="I90" s="30">
        <f t="shared" si="23"/>
        <v>15</v>
      </c>
      <c r="J90" s="30">
        <f t="shared" si="24"/>
        <v>1080</v>
      </c>
      <c r="K90" s="31">
        <f t="shared" si="20"/>
        <v>18992.600000000002</v>
      </c>
      <c r="L90" s="31">
        <f t="shared" si="22"/>
        <v>0</v>
      </c>
      <c r="M90" s="31">
        <f t="shared" si="21"/>
        <v>18992.600000000002</v>
      </c>
      <c r="N90" s="31">
        <f t="shared" si="25"/>
        <v>21841.49</v>
      </c>
    </row>
    <row r="91" spans="1:14" ht="15.75" x14ac:dyDescent="0.25">
      <c r="A91" s="2" t="str">
        <f>CONCATENATE("ТР 3060-",H91,", БП 3/4")</f>
        <v>ТР 3060-10, БП 3/4</v>
      </c>
      <c r="B91" s="1">
        <v>605</v>
      </c>
      <c r="C91" s="1">
        <v>530</v>
      </c>
      <c r="D91" s="10">
        <v>1.8</v>
      </c>
      <c r="E91" s="10">
        <v>116</v>
      </c>
      <c r="F91" s="10">
        <v>2004.9920000000002</v>
      </c>
      <c r="G91" s="58"/>
      <c r="H91" s="11">
        <v>10</v>
      </c>
      <c r="I91" s="8">
        <f t="shared" si="23"/>
        <v>18</v>
      </c>
      <c r="J91" s="8">
        <f t="shared" si="24"/>
        <v>1160</v>
      </c>
      <c r="K91" s="3">
        <f t="shared" si="20"/>
        <v>20049.920000000002</v>
      </c>
      <c r="L91" s="3">
        <f t="shared" si="22"/>
        <v>0</v>
      </c>
      <c r="M91" s="3">
        <f t="shared" si="21"/>
        <v>20049.920000000002</v>
      </c>
      <c r="N91" s="3">
        <f t="shared" si="25"/>
        <v>23057.407999999999</v>
      </c>
    </row>
    <row r="92" spans="1:14" ht="15.75" x14ac:dyDescent="0.25">
      <c r="A92" s="26" t="str">
        <f>CONCATENATE("ТР 3070-",H92,", БП 3/4")</f>
        <v>ТР 3070-10, БП 3/4</v>
      </c>
      <c r="B92" s="27">
        <v>705</v>
      </c>
      <c r="C92" s="27">
        <v>630</v>
      </c>
      <c r="D92" s="28">
        <v>2.2000000000000002</v>
      </c>
      <c r="E92" s="28">
        <v>131</v>
      </c>
      <c r="F92" s="28">
        <v>2089.1860000000001</v>
      </c>
      <c r="G92" s="58"/>
      <c r="H92" s="29">
        <v>10</v>
      </c>
      <c r="I92" s="30">
        <f t="shared" si="23"/>
        <v>22</v>
      </c>
      <c r="J92" s="30">
        <f t="shared" si="24"/>
        <v>1310</v>
      </c>
      <c r="K92" s="31">
        <f t="shared" si="20"/>
        <v>20891.86</v>
      </c>
      <c r="L92" s="31">
        <f t="shared" si="22"/>
        <v>0</v>
      </c>
      <c r="M92" s="31">
        <f t="shared" si="21"/>
        <v>20891.86</v>
      </c>
      <c r="N92" s="31">
        <f t="shared" si="25"/>
        <v>24025.638999999999</v>
      </c>
    </row>
    <row r="93" spans="1:14" ht="15.75" x14ac:dyDescent="0.25">
      <c r="A93" s="2" t="str">
        <f>CONCATENATE("ТР 3080-",H93,", БП 3/4")</f>
        <v>ТР 3080-10, БП 3/4</v>
      </c>
      <c r="B93" s="1">
        <v>805</v>
      </c>
      <c r="C93" s="1">
        <v>730</v>
      </c>
      <c r="D93" s="10">
        <v>2.4</v>
      </c>
      <c r="E93" s="10">
        <v>142</v>
      </c>
      <c r="F93" s="10">
        <v>2155.7580000000003</v>
      </c>
      <c r="G93" s="58"/>
      <c r="H93" s="11">
        <v>10</v>
      </c>
      <c r="I93" s="8">
        <f t="shared" si="23"/>
        <v>24</v>
      </c>
      <c r="J93" s="8">
        <f t="shared" si="24"/>
        <v>1420</v>
      </c>
      <c r="K93" s="3">
        <f t="shared" si="20"/>
        <v>21557.58</v>
      </c>
      <c r="L93" s="3">
        <f t="shared" si="22"/>
        <v>0</v>
      </c>
      <c r="M93" s="3">
        <f t="shared" si="21"/>
        <v>21557.58</v>
      </c>
      <c r="N93" s="3">
        <f t="shared" si="25"/>
        <v>24791.217000000001</v>
      </c>
    </row>
    <row r="94" spans="1:14" ht="15.75" x14ac:dyDescent="0.25">
      <c r="A94" s="26" t="str">
        <f>CONCATENATE("ТР 3090-",H94,", БП 3/4")</f>
        <v>ТР 3090-10, БП 3/4</v>
      </c>
      <c r="B94" s="27">
        <v>905</v>
      </c>
      <c r="C94" s="27">
        <v>830</v>
      </c>
      <c r="D94" s="28">
        <v>2.6</v>
      </c>
      <c r="E94" s="28">
        <v>155</v>
      </c>
      <c r="F94" s="28">
        <v>2228.2040000000002</v>
      </c>
      <c r="G94" s="58"/>
      <c r="H94" s="29">
        <v>10</v>
      </c>
      <c r="I94" s="30">
        <f t="shared" si="23"/>
        <v>26</v>
      </c>
      <c r="J94" s="30">
        <f t="shared" si="24"/>
        <v>1550</v>
      </c>
      <c r="K94" s="31">
        <f t="shared" si="20"/>
        <v>22282.04</v>
      </c>
      <c r="L94" s="31">
        <f t="shared" si="22"/>
        <v>0</v>
      </c>
      <c r="M94" s="31">
        <f t="shared" si="21"/>
        <v>22282.04</v>
      </c>
      <c r="N94" s="31">
        <f t="shared" si="25"/>
        <v>25624.345999999998</v>
      </c>
    </row>
    <row r="95" spans="1:14" ht="15.75" x14ac:dyDescent="0.25">
      <c r="A95" s="2" t="str">
        <f>CONCATENATE("ТР 3100-",H95,", БП 3/4")</f>
        <v>ТР 3100-10, БП 3/4</v>
      </c>
      <c r="B95" s="1">
        <v>1005</v>
      </c>
      <c r="C95" s="1">
        <v>930</v>
      </c>
      <c r="D95" s="10">
        <v>2.8</v>
      </c>
      <c r="E95" s="10">
        <v>167</v>
      </c>
      <c r="F95" s="10">
        <v>2324.1460000000002</v>
      </c>
      <c r="G95" s="58"/>
      <c r="H95" s="11">
        <v>10</v>
      </c>
      <c r="I95" s="8">
        <f t="shared" si="23"/>
        <v>28</v>
      </c>
      <c r="J95" s="8">
        <f t="shared" si="24"/>
        <v>1670</v>
      </c>
      <c r="K95" s="3">
        <f t="shared" si="20"/>
        <v>23241.460000000003</v>
      </c>
      <c r="L95" s="3">
        <f t="shared" si="22"/>
        <v>0</v>
      </c>
      <c r="M95" s="3">
        <f t="shared" si="21"/>
        <v>23241.460000000003</v>
      </c>
      <c r="N95" s="3">
        <f t="shared" si="25"/>
        <v>26727.679</v>
      </c>
    </row>
    <row r="96" spans="1:14" ht="15.75" x14ac:dyDescent="0.25">
      <c r="A96" s="26" t="str">
        <f>CONCATENATE("ТР 3110-",H96,", БП 3/4")</f>
        <v>ТР 3110-10, БП 3/4</v>
      </c>
      <c r="B96" s="27">
        <v>1105</v>
      </c>
      <c r="C96" s="27">
        <v>1030</v>
      </c>
      <c r="D96" s="28">
        <v>3</v>
      </c>
      <c r="E96" s="28">
        <v>179</v>
      </c>
      <c r="F96" s="28">
        <v>2388.7600000000002</v>
      </c>
      <c r="G96" s="57" t="s">
        <v>19</v>
      </c>
      <c r="H96" s="29">
        <v>10</v>
      </c>
      <c r="I96" s="30">
        <f t="shared" si="23"/>
        <v>30</v>
      </c>
      <c r="J96" s="30">
        <f t="shared" si="24"/>
        <v>1790</v>
      </c>
      <c r="K96" s="31">
        <f t="shared" si="20"/>
        <v>23887.600000000002</v>
      </c>
      <c r="L96" s="31">
        <f t="shared" si="22"/>
        <v>0</v>
      </c>
      <c r="M96" s="31">
        <f t="shared" si="21"/>
        <v>23887.600000000002</v>
      </c>
      <c r="N96" s="31">
        <f t="shared" si="25"/>
        <v>27470.74</v>
      </c>
    </row>
    <row r="97" spans="1:14" ht="15.75" x14ac:dyDescent="0.25">
      <c r="A97" s="2" t="str">
        <f>CONCATENATE("ТР 3120-",H97,", БП 3/4")</f>
        <v>ТР 3120-10, БП 3/4</v>
      </c>
      <c r="B97" s="1">
        <v>1205</v>
      </c>
      <c r="C97" s="1">
        <v>1130</v>
      </c>
      <c r="D97" s="10">
        <v>3.3</v>
      </c>
      <c r="E97" s="10">
        <v>187</v>
      </c>
      <c r="F97" s="10">
        <v>2525.8200000000002</v>
      </c>
      <c r="G97" s="58"/>
      <c r="H97" s="11">
        <v>10</v>
      </c>
      <c r="I97" s="8">
        <f t="shared" si="23"/>
        <v>33</v>
      </c>
      <c r="J97" s="8">
        <f t="shared" si="24"/>
        <v>1870</v>
      </c>
      <c r="K97" s="3">
        <f t="shared" si="20"/>
        <v>25258.2</v>
      </c>
      <c r="L97" s="3">
        <f t="shared" si="22"/>
        <v>0</v>
      </c>
      <c r="M97" s="3">
        <f t="shared" si="21"/>
        <v>25258.2</v>
      </c>
      <c r="N97" s="3">
        <f t="shared" si="25"/>
        <v>29046.93</v>
      </c>
    </row>
    <row r="98" spans="1:14" ht="15.75" x14ac:dyDescent="0.25">
      <c r="A98" s="26" t="str">
        <f>CONCATENATE("ТР 3130-",H98,", БП 3/4")</f>
        <v>ТР 3130-10, БП 3/4</v>
      </c>
      <c r="B98" s="27">
        <v>1305</v>
      </c>
      <c r="C98" s="27">
        <v>1230</v>
      </c>
      <c r="D98" s="28">
        <v>3.5</v>
      </c>
      <c r="E98" s="28">
        <v>201</v>
      </c>
      <c r="F98" s="28">
        <v>2617.8460000000005</v>
      </c>
      <c r="G98" s="58"/>
      <c r="H98" s="29">
        <v>10</v>
      </c>
      <c r="I98" s="30">
        <f t="shared" si="23"/>
        <v>35</v>
      </c>
      <c r="J98" s="30">
        <f t="shared" si="24"/>
        <v>2010</v>
      </c>
      <c r="K98" s="31">
        <f t="shared" si="20"/>
        <v>26178.460000000006</v>
      </c>
      <c r="L98" s="31">
        <f t="shared" si="22"/>
        <v>0</v>
      </c>
      <c r="M98" s="31">
        <f t="shared" si="21"/>
        <v>26178.460000000006</v>
      </c>
      <c r="N98" s="31">
        <f t="shared" si="25"/>
        <v>30105.229000000007</v>
      </c>
    </row>
    <row r="99" spans="1:14" ht="15.75" x14ac:dyDescent="0.25">
      <c r="A99" s="2" t="str">
        <f>CONCATENATE("ТР 3140-",H99,", БП 3/4")</f>
        <v>ТР 3140-10, БП 3/4</v>
      </c>
      <c r="B99" s="1">
        <v>1405</v>
      </c>
      <c r="C99" s="1">
        <v>1330</v>
      </c>
      <c r="D99" s="10">
        <v>3.7</v>
      </c>
      <c r="E99" s="10">
        <v>214</v>
      </c>
      <c r="F99" s="10">
        <v>2670.7120000000004</v>
      </c>
      <c r="G99" s="58"/>
      <c r="H99" s="11">
        <v>10</v>
      </c>
      <c r="I99" s="8">
        <f t="shared" si="23"/>
        <v>37</v>
      </c>
      <c r="J99" s="8">
        <f t="shared" si="24"/>
        <v>2140</v>
      </c>
      <c r="K99" s="3">
        <f t="shared" si="20"/>
        <v>26707.120000000003</v>
      </c>
      <c r="L99" s="3">
        <f t="shared" si="22"/>
        <v>0</v>
      </c>
      <c r="M99" s="3">
        <f t="shared" si="21"/>
        <v>26707.120000000003</v>
      </c>
      <c r="N99" s="3">
        <f t="shared" si="25"/>
        <v>30713.188000000002</v>
      </c>
    </row>
    <row r="100" spans="1:14" ht="15.75" x14ac:dyDescent="0.25">
      <c r="A100" s="26" t="str">
        <f>CONCATENATE("ТР 3150-",H100,", БП 3/4")</f>
        <v>ТР 3150-10, БП 3/4</v>
      </c>
      <c r="B100" s="27">
        <v>1505</v>
      </c>
      <c r="C100" s="27">
        <v>1430</v>
      </c>
      <c r="D100" s="28">
        <v>3.9</v>
      </c>
      <c r="E100" s="28">
        <v>226</v>
      </c>
      <c r="F100" s="28">
        <v>3619.4400000000005</v>
      </c>
      <c r="G100" s="58"/>
      <c r="H100" s="29">
        <v>10</v>
      </c>
      <c r="I100" s="30">
        <f t="shared" si="23"/>
        <v>39</v>
      </c>
      <c r="J100" s="30">
        <f t="shared" si="24"/>
        <v>2260</v>
      </c>
      <c r="K100" s="31">
        <f t="shared" si="20"/>
        <v>36194.400000000009</v>
      </c>
      <c r="L100" s="31">
        <f t="shared" si="22"/>
        <v>0</v>
      </c>
      <c r="M100" s="31">
        <f t="shared" si="21"/>
        <v>36194.400000000009</v>
      </c>
      <c r="N100" s="31">
        <f t="shared" si="25"/>
        <v>41623.560000000005</v>
      </c>
    </row>
    <row r="101" spans="1:14" ht="15.75" x14ac:dyDescent="0.25">
      <c r="A101" s="2" t="str">
        <f>CONCATENATE("ТР 3160-",H101,", БП 3/4")</f>
        <v>ТР 3160-10, БП 3/4</v>
      </c>
      <c r="B101" s="1">
        <v>1605</v>
      </c>
      <c r="C101" s="1">
        <v>1530</v>
      </c>
      <c r="D101" s="10">
        <v>4.2</v>
      </c>
      <c r="E101" s="10">
        <v>241</v>
      </c>
      <c r="F101" s="10">
        <v>3669.6000000000004</v>
      </c>
      <c r="G101" s="58"/>
      <c r="H101" s="11">
        <v>10</v>
      </c>
      <c r="I101" s="8">
        <f t="shared" si="23"/>
        <v>42</v>
      </c>
      <c r="J101" s="8">
        <f t="shared" si="24"/>
        <v>2410</v>
      </c>
      <c r="K101" s="3">
        <f t="shared" si="20"/>
        <v>36696</v>
      </c>
      <c r="L101" s="3">
        <f t="shared" si="22"/>
        <v>0</v>
      </c>
      <c r="M101" s="3">
        <f t="shared" si="21"/>
        <v>36696</v>
      </c>
      <c r="N101" s="3">
        <f t="shared" si="25"/>
        <v>42200.399999999994</v>
      </c>
    </row>
    <row r="102" spans="1:14" ht="15.75" x14ac:dyDescent="0.25">
      <c r="A102" s="26" t="str">
        <f>CONCATENATE("ТР 3170-",H102,", БП 3/4")</f>
        <v>ТР 3170-10, БП 3/4</v>
      </c>
      <c r="B102" s="27">
        <v>1705</v>
      </c>
      <c r="C102" s="27">
        <v>1630</v>
      </c>
      <c r="D102" s="28">
        <v>4.5</v>
      </c>
      <c r="E102" s="28">
        <v>255</v>
      </c>
      <c r="F102" s="28">
        <v>3880.8</v>
      </c>
      <c r="G102" s="58"/>
      <c r="H102" s="29">
        <v>10</v>
      </c>
      <c r="I102" s="30">
        <f t="shared" si="23"/>
        <v>45</v>
      </c>
      <c r="J102" s="30">
        <f t="shared" si="24"/>
        <v>2550</v>
      </c>
      <c r="K102" s="31">
        <f t="shared" si="20"/>
        <v>38808</v>
      </c>
      <c r="L102" s="31">
        <f t="shared" si="22"/>
        <v>0</v>
      </c>
      <c r="M102" s="31">
        <f t="shared" si="21"/>
        <v>38808</v>
      </c>
      <c r="N102" s="31">
        <f t="shared" si="25"/>
        <v>44629.2</v>
      </c>
    </row>
    <row r="103" spans="1:14" ht="15.75" x14ac:dyDescent="0.25">
      <c r="A103" s="2" t="str">
        <f>CONCATENATE("ТР 3180-",H103,", БП 3/4")</f>
        <v>ТР 3180-10, БП 3/4</v>
      </c>
      <c r="B103" s="1">
        <v>1805</v>
      </c>
      <c r="C103" s="1">
        <v>1730</v>
      </c>
      <c r="D103" s="10">
        <v>4.5999999999999996</v>
      </c>
      <c r="E103" s="10">
        <v>267</v>
      </c>
      <c r="F103" s="10">
        <v>4084.08</v>
      </c>
      <c r="G103" s="58"/>
      <c r="H103" s="11">
        <v>10</v>
      </c>
      <c r="I103" s="8">
        <f t="shared" si="23"/>
        <v>46</v>
      </c>
      <c r="J103" s="8">
        <f t="shared" si="24"/>
        <v>2670</v>
      </c>
      <c r="K103" s="3">
        <f t="shared" si="20"/>
        <v>40840.800000000003</v>
      </c>
      <c r="L103" s="3">
        <f t="shared" si="22"/>
        <v>0</v>
      </c>
      <c r="M103" s="3">
        <f t="shared" si="21"/>
        <v>40840.800000000003</v>
      </c>
      <c r="N103" s="3">
        <f t="shared" si="25"/>
        <v>46966.92</v>
      </c>
    </row>
    <row r="104" spans="1:14" ht="6.95" customHeight="1" x14ac:dyDescent="0.25">
      <c r="A104" s="20"/>
      <c r="B104" s="37"/>
      <c r="C104" s="37"/>
      <c r="D104" s="45"/>
      <c r="E104" s="45"/>
      <c r="F104" s="45"/>
      <c r="G104" s="45"/>
      <c r="H104" s="46"/>
      <c r="I104" s="47"/>
      <c r="J104" s="47"/>
      <c r="K104" s="48"/>
      <c r="L104" s="48"/>
      <c r="M104" s="48"/>
      <c r="N104" s="48"/>
    </row>
    <row r="105" spans="1:14" s="49" customFormat="1" ht="12.75" x14ac:dyDescent="0.2">
      <c r="A105" s="49" t="s">
        <v>21</v>
      </c>
      <c r="D105" s="50"/>
      <c r="E105" s="50"/>
      <c r="F105" s="50"/>
      <c r="G105" s="50"/>
      <c r="H105" s="51"/>
      <c r="I105" s="51"/>
      <c r="J105" s="51"/>
      <c r="K105" s="52"/>
      <c r="L105" s="52"/>
      <c r="M105" s="52"/>
      <c r="N105" s="52"/>
    </row>
    <row r="106" spans="1:14" s="53" customFormat="1" ht="12.75" x14ac:dyDescent="0.2">
      <c r="A106" s="49" t="s">
        <v>15</v>
      </c>
      <c r="D106" s="54"/>
      <c r="E106" s="54"/>
      <c r="F106" s="54"/>
      <c r="G106" s="54"/>
      <c r="H106" s="55"/>
      <c r="I106" s="55"/>
      <c r="J106" s="55"/>
      <c r="K106" s="56"/>
      <c r="L106" s="56"/>
      <c r="M106" s="56"/>
      <c r="N106" s="56"/>
    </row>
    <row r="108" spans="1:14" ht="23.25" x14ac:dyDescent="0.25">
      <c r="A108" s="44" t="s">
        <v>24</v>
      </c>
    </row>
    <row r="109" spans="1:14" s="20" customFormat="1" ht="18.75" x14ac:dyDescent="0.25">
      <c r="C109" s="33"/>
      <c r="D109" s="34"/>
      <c r="E109" s="34"/>
      <c r="F109" s="34"/>
      <c r="G109" s="34"/>
      <c r="H109" s="35"/>
      <c r="I109" s="35"/>
      <c r="J109" s="35"/>
      <c r="K109" s="23"/>
      <c r="L109" s="24">
        <v>0</v>
      </c>
      <c r="M109" s="23"/>
    </row>
    <row r="110" spans="1:14" s="25" customFormat="1" ht="45" customHeight="1" x14ac:dyDescent="0.25">
      <c r="A110" s="4" t="s">
        <v>2</v>
      </c>
      <c r="B110" s="4" t="s">
        <v>12</v>
      </c>
      <c r="C110" s="4" t="s">
        <v>1</v>
      </c>
      <c r="D110" s="9" t="s">
        <v>6</v>
      </c>
      <c r="E110" s="9" t="s">
        <v>8</v>
      </c>
      <c r="F110" s="9" t="s">
        <v>3</v>
      </c>
      <c r="G110" s="59" t="s">
        <v>20</v>
      </c>
      <c r="H110" s="60"/>
      <c r="I110" s="7" t="s">
        <v>5</v>
      </c>
      <c r="J110" s="7" t="s">
        <v>7</v>
      </c>
      <c r="K110" s="5" t="s">
        <v>0</v>
      </c>
      <c r="L110" s="6" t="s">
        <v>4</v>
      </c>
      <c r="M110" s="5" t="s">
        <v>13</v>
      </c>
      <c r="N110" s="5" t="s">
        <v>14</v>
      </c>
    </row>
    <row r="111" spans="1:14" ht="15.75" x14ac:dyDescent="0.25">
      <c r="A111" s="26" t="str">
        <f>CONCATENATE("ТР 3030-",H111,", НП 1/2")</f>
        <v>ТР 3030-10, НП 1/2</v>
      </c>
      <c r="B111" s="27">
        <v>305</v>
      </c>
      <c r="C111" s="27">
        <v>230</v>
      </c>
      <c r="D111" s="28">
        <v>0.95</v>
      </c>
      <c r="E111" s="28">
        <v>73</v>
      </c>
      <c r="F111" s="28">
        <v>1781.7800000000002</v>
      </c>
      <c r="G111" s="57" t="s">
        <v>18</v>
      </c>
      <c r="H111" s="29">
        <v>10</v>
      </c>
      <c r="I111" s="30">
        <f>D111*H111</f>
        <v>9.5</v>
      </c>
      <c r="J111" s="30">
        <f>E111*H111</f>
        <v>730</v>
      </c>
      <c r="K111" s="31">
        <f t="shared" ref="K111:K128" si="26">IF(H111=0,0,F111*H111+5000)</f>
        <v>22817.800000000003</v>
      </c>
      <c r="L111" s="31">
        <f>K111*$L$109/100</f>
        <v>0</v>
      </c>
      <c r="M111" s="31">
        <f t="shared" ref="M111:M128" si="27">K111-L111</f>
        <v>22817.800000000003</v>
      </c>
      <c r="N111" s="31">
        <f>IF(H111=0,0,F111*H111*1.15+5000-L111)</f>
        <v>25490.47</v>
      </c>
    </row>
    <row r="112" spans="1:14" ht="15.75" x14ac:dyDescent="0.25">
      <c r="A112" s="2" t="str">
        <f>CONCATENATE("ТР 3037-",H112,", НП 1/2")</f>
        <v>ТР 3037-10, НП 1/2</v>
      </c>
      <c r="B112" s="1">
        <v>375</v>
      </c>
      <c r="C112" s="1">
        <v>300</v>
      </c>
      <c r="D112" s="10">
        <v>1.2</v>
      </c>
      <c r="E112" s="10">
        <v>80</v>
      </c>
      <c r="F112" s="10">
        <v>1811.15</v>
      </c>
      <c r="G112" s="58"/>
      <c r="H112" s="11">
        <v>10</v>
      </c>
      <c r="I112" s="8">
        <f>D112*H112</f>
        <v>12</v>
      </c>
      <c r="J112" s="8">
        <f>E112*H112</f>
        <v>800</v>
      </c>
      <c r="K112" s="3">
        <f t="shared" si="26"/>
        <v>23111.5</v>
      </c>
      <c r="L112" s="3">
        <f>K112*$L$109/100</f>
        <v>0</v>
      </c>
      <c r="M112" s="3">
        <f t="shared" si="27"/>
        <v>23111.5</v>
      </c>
      <c r="N112" s="3">
        <f>IF(H112=0,0,F112*H112*1.15+5000-L112)</f>
        <v>25828.224999999999</v>
      </c>
    </row>
    <row r="113" spans="1:14" ht="15.75" x14ac:dyDescent="0.25">
      <c r="A113" s="26" t="str">
        <f>CONCATENATE("ТР 3040-",H113,", НП 1/2")</f>
        <v>ТР 3040-10, НП 1/2</v>
      </c>
      <c r="B113" s="27">
        <v>405</v>
      </c>
      <c r="C113" s="27">
        <v>330</v>
      </c>
      <c r="D113" s="28">
        <v>1.3</v>
      </c>
      <c r="E113" s="28">
        <v>86</v>
      </c>
      <c r="F113" s="28">
        <v>1854.2260000000003</v>
      </c>
      <c r="G113" s="58"/>
      <c r="H113" s="29">
        <v>10</v>
      </c>
      <c r="I113" s="30">
        <f t="shared" ref="I113:I128" si="28">D113*H113</f>
        <v>13</v>
      </c>
      <c r="J113" s="30">
        <f t="shared" ref="J113:J128" si="29">E113*H113</f>
        <v>860</v>
      </c>
      <c r="K113" s="31">
        <f t="shared" si="26"/>
        <v>23542.260000000002</v>
      </c>
      <c r="L113" s="31">
        <f t="shared" ref="L113:L128" si="30">K113*$L$109/100</f>
        <v>0</v>
      </c>
      <c r="M113" s="31">
        <f t="shared" si="27"/>
        <v>23542.260000000002</v>
      </c>
      <c r="N113" s="31">
        <f t="shared" ref="N113:N128" si="31">IF(H113=0,0,F113*H113*1.15+5000-L113)</f>
        <v>26323.599000000002</v>
      </c>
    </row>
    <row r="114" spans="1:14" ht="15.75" x14ac:dyDescent="0.25">
      <c r="A114" s="2" t="str">
        <f>CONCATENATE("ТР 3050-",H114,", НП 1/2")</f>
        <v>ТР 3050-10, НП 1/2</v>
      </c>
      <c r="B114" s="1">
        <v>505</v>
      </c>
      <c r="C114" s="1">
        <v>430</v>
      </c>
      <c r="D114" s="10">
        <v>1.4</v>
      </c>
      <c r="E114" s="10">
        <v>101</v>
      </c>
      <c r="F114" s="10">
        <v>1864.0160000000001</v>
      </c>
      <c r="G114" s="58"/>
      <c r="H114" s="11">
        <v>10</v>
      </c>
      <c r="I114" s="8">
        <f t="shared" si="28"/>
        <v>14</v>
      </c>
      <c r="J114" s="8">
        <f t="shared" si="29"/>
        <v>1010</v>
      </c>
      <c r="K114" s="3">
        <f t="shared" si="26"/>
        <v>23640.16</v>
      </c>
      <c r="L114" s="3">
        <f t="shared" si="30"/>
        <v>0</v>
      </c>
      <c r="M114" s="3">
        <f t="shared" si="27"/>
        <v>23640.16</v>
      </c>
      <c r="N114" s="3">
        <f t="shared" si="31"/>
        <v>26436.183999999997</v>
      </c>
    </row>
    <row r="115" spans="1:14" ht="15.75" x14ac:dyDescent="0.25">
      <c r="A115" s="26" t="str">
        <f>CONCATENATE("ТР 3057-",H115,", НП 1/2")</f>
        <v>ТР 3057-10, НП 1/2</v>
      </c>
      <c r="B115" s="27">
        <v>575</v>
      </c>
      <c r="C115" s="27">
        <v>500</v>
      </c>
      <c r="D115" s="28">
        <v>1.5</v>
      </c>
      <c r="E115" s="28">
        <v>108</v>
      </c>
      <c r="F115" s="28">
        <v>1899.2600000000002</v>
      </c>
      <c r="G115" s="58"/>
      <c r="H115" s="29">
        <v>10</v>
      </c>
      <c r="I115" s="30">
        <f t="shared" si="28"/>
        <v>15</v>
      </c>
      <c r="J115" s="30">
        <f t="shared" si="29"/>
        <v>1080</v>
      </c>
      <c r="K115" s="31">
        <f t="shared" si="26"/>
        <v>23992.600000000002</v>
      </c>
      <c r="L115" s="31">
        <f t="shared" si="30"/>
        <v>0</v>
      </c>
      <c r="M115" s="31">
        <f t="shared" si="27"/>
        <v>23992.600000000002</v>
      </c>
      <c r="N115" s="31">
        <f t="shared" si="31"/>
        <v>26841.49</v>
      </c>
    </row>
    <row r="116" spans="1:14" ht="15.75" x14ac:dyDescent="0.25">
      <c r="A116" s="2" t="str">
        <f>CONCATENATE("ТР 3060-",H116,", НП 1/2")</f>
        <v>ТР 3060-10, НП 1/2</v>
      </c>
      <c r="B116" s="1">
        <v>605</v>
      </c>
      <c r="C116" s="1">
        <v>530</v>
      </c>
      <c r="D116" s="10">
        <v>1.8</v>
      </c>
      <c r="E116" s="10">
        <v>116</v>
      </c>
      <c r="F116" s="10">
        <v>2004.9920000000002</v>
      </c>
      <c r="G116" s="58"/>
      <c r="H116" s="11">
        <v>10</v>
      </c>
      <c r="I116" s="8">
        <f t="shared" si="28"/>
        <v>18</v>
      </c>
      <c r="J116" s="8">
        <f t="shared" si="29"/>
        <v>1160</v>
      </c>
      <c r="K116" s="3">
        <f t="shared" si="26"/>
        <v>25049.920000000002</v>
      </c>
      <c r="L116" s="3">
        <f t="shared" si="30"/>
        <v>0</v>
      </c>
      <c r="M116" s="3">
        <f t="shared" si="27"/>
        <v>25049.920000000002</v>
      </c>
      <c r="N116" s="3">
        <f t="shared" si="31"/>
        <v>28057.407999999999</v>
      </c>
    </row>
    <row r="117" spans="1:14" ht="15.75" x14ac:dyDescent="0.25">
      <c r="A117" s="26" t="str">
        <f>CONCATENATE("ТР 3070-",H117,", НП 1/2")</f>
        <v>ТР 3070-10, НП 1/2</v>
      </c>
      <c r="B117" s="27">
        <v>705</v>
      </c>
      <c r="C117" s="27">
        <v>630</v>
      </c>
      <c r="D117" s="28">
        <v>2.2000000000000002</v>
      </c>
      <c r="E117" s="28">
        <v>131</v>
      </c>
      <c r="F117" s="28">
        <v>2089.1860000000001</v>
      </c>
      <c r="G117" s="58"/>
      <c r="H117" s="29">
        <v>10</v>
      </c>
      <c r="I117" s="30">
        <f t="shared" si="28"/>
        <v>22</v>
      </c>
      <c r="J117" s="30">
        <f t="shared" si="29"/>
        <v>1310</v>
      </c>
      <c r="K117" s="31">
        <f t="shared" si="26"/>
        <v>25891.86</v>
      </c>
      <c r="L117" s="31">
        <f t="shared" si="30"/>
        <v>0</v>
      </c>
      <c r="M117" s="31">
        <f t="shared" si="27"/>
        <v>25891.86</v>
      </c>
      <c r="N117" s="31">
        <f t="shared" si="31"/>
        <v>29025.638999999999</v>
      </c>
    </row>
    <row r="118" spans="1:14" ht="15.75" x14ac:dyDescent="0.25">
      <c r="A118" s="2" t="str">
        <f>CONCATENATE("ТР 3080-",H118,", НП 1/2")</f>
        <v>ТР 3080-10, НП 1/2</v>
      </c>
      <c r="B118" s="1">
        <v>805</v>
      </c>
      <c r="C118" s="1">
        <v>730</v>
      </c>
      <c r="D118" s="10">
        <v>2.4</v>
      </c>
      <c r="E118" s="10">
        <v>142</v>
      </c>
      <c r="F118" s="10">
        <v>2155.7580000000003</v>
      </c>
      <c r="G118" s="58"/>
      <c r="H118" s="11">
        <v>10</v>
      </c>
      <c r="I118" s="8">
        <f t="shared" si="28"/>
        <v>24</v>
      </c>
      <c r="J118" s="8">
        <f t="shared" si="29"/>
        <v>1420</v>
      </c>
      <c r="K118" s="3">
        <f t="shared" si="26"/>
        <v>26557.58</v>
      </c>
      <c r="L118" s="3">
        <f t="shared" si="30"/>
        <v>0</v>
      </c>
      <c r="M118" s="3">
        <f t="shared" si="27"/>
        <v>26557.58</v>
      </c>
      <c r="N118" s="3">
        <f t="shared" si="31"/>
        <v>29791.217000000001</v>
      </c>
    </row>
    <row r="119" spans="1:14" ht="15.75" x14ac:dyDescent="0.25">
      <c r="A119" s="26" t="str">
        <f>CONCATENATE("ТР 3090-",H119,", НП 1/2")</f>
        <v>ТР 3090-10, НП 1/2</v>
      </c>
      <c r="B119" s="27">
        <v>905</v>
      </c>
      <c r="C119" s="27">
        <v>830</v>
      </c>
      <c r="D119" s="28">
        <v>2.6</v>
      </c>
      <c r="E119" s="28">
        <v>155</v>
      </c>
      <c r="F119" s="28">
        <v>2228.2040000000002</v>
      </c>
      <c r="G119" s="58"/>
      <c r="H119" s="29">
        <v>10</v>
      </c>
      <c r="I119" s="30">
        <f t="shared" si="28"/>
        <v>26</v>
      </c>
      <c r="J119" s="30">
        <f t="shared" si="29"/>
        <v>1550</v>
      </c>
      <c r="K119" s="31">
        <f t="shared" si="26"/>
        <v>27282.04</v>
      </c>
      <c r="L119" s="31">
        <f t="shared" si="30"/>
        <v>0</v>
      </c>
      <c r="M119" s="31">
        <f t="shared" si="27"/>
        <v>27282.04</v>
      </c>
      <c r="N119" s="31">
        <f t="shared" si="31"/>
        <v>30624.345999999998</v>
      </c>
    </row>
    <row r="120" spans="1:14" ht="15.75" x14ac:dyDescent="0.25">
      <c r="A120" s="2" t="str">
        <f>CONCATENATE("ТР 3100-",H120,", НП 1/2")</f>
        <v>ТР 3100-10, НП 1/2</v>
      </c>
      <c r="B120" s="1">
        <v>1005</v>
      </c>
      <c r="C120" s="1">
        <v>930</v>
      </c>
      <c r="D120" s="10">
        <v>2.8</v>
      </c>
      <c r="E120" s="10">
        <v>167</v>
      </c>
      <c r="F120" s="10">
        <v>2324.1460000000002</v>
      </c>
      <c r="G120" s="58"/>
      <c r="H120" s="11">
        <v>10</v>
      </c>
      <c r="I120" s="8">
        <f t="shared" si="28"/>
        <v>28</v>
      </c>
      <c r="J120" s="8">
        <f t="shared" si="29"/>
        <v>1670</v>
      </c>
      <c r="K120" s="3">
        <f t="shared" si="26"/>
        <v>28241.460000000003</v>
      </c>
      <c r="L120" s="3">
        <f t="shared" si="30"/>
        <v>0</v>
      </c>
      <c r="M120" s="3">
        <f t="shared" si="27"/>
        <v>28241.460000000003</v>
      </c>
      <c r="N120" s="3">
        <f t="shared" si="31"/>
        <v>31727.679</v>
      </c>
    </row>
    <row r="121" spans="1:14" ht="15.75" x14ac:dyDescent="0.25">
      <c r="A121" s="26" t="str">
        <f>CONCATENATE("ТР 3110-",H121,", НП 1/2")</f>
        <v>ТР 3110-10, НП 1/2</v>
      </c>
      <c r="B121" s="27">
        <v>1105</v>
      </c>
      <c r="C121" s="27">
        <v>1030</v>
      </c>
      <c r="D121" s="28">
        <v>3</v>
      </c>
      <c r="E121" s="28">
        <v>179</v>
      </c>
      <c r="F121" s="28">
        <v>2388.7600000000002</v>
      </c>
      <c r="G121" s="57" t="s">
        <v>19</v>
      </c>
      <c r="H121" s="29">
        <v>10</v>
      </c>
      <c r="I121" s="30">
        <f t="shared" si="28"/>
        <v>30</v>
      </c>
      <c r="J121" s="30">
        <f t="shared" si="29"/>
        <v>1790</v>
      </c>
      <c r="K121" s="31">
        <f t="shared" si="26"/>
        <v>28887.600000000002</v>
      </c>
      <c r="L121" s="31">
        <f t="shared" si="30"/>
        <v>0</v>
      </c>
      <c r="M121" s="31">
        <f t="shared" si="27"/>
        <v>28887.600000000002</v>
      </c>
      <c r="N121" s="31">
        <f t="shared" si="31"/>
        <v>32470.74</v>
      </c>
    </row>
    <row r="122" spans="1:14" ht="15.75" x14ac:dyDescent="0.25">
      <c r="A122" s="2" t="str">
        <f>CONCATENATE("ТР 3120-",H122,", НП 1/2")</f>
        <v>ТР 3120-10, НП 1/2</v>
      </c>
      <c r="B122" s="1">
        <v>1205</v>
      </c>
      <c r="C122" s="1">
        <v>1130</v>
      </c>
      <c r="D122" s="10">
        <v>3.3</v>
      </c>
      <c r="E122" s="10">
        <v>187</v>
      </c>
      <c r="F122" s="10">
        <v>2525.8200000000002</v>
      </c>
      <c r="G122" s="58"/>
      <c r="H122" s="11">
        <v>10</v>
      </c>
      <c r="I122" s="8">
        <f t="shared" si="28"/>
        <v>33</v>
      </c>
      <c r="J122" s="8">
        <f t="shared" si="29"/>
        <v>1870</v>
      </c>
      <c r="K122" s="3">
        <f t="shared" si="26"/>
        <v>30258.2</v>
      </c>
      <c r="L122" s="3">
        <f t="shared" si="30"/>
        <v>0</v>
      </c>
      <c r="M122" s="3">
        <f t="shared" si="27"/>
        <v>30258.2</v>
      </c>
      <c r="N122" s="3">
        <f t="shared" si="31"/>
        <v>34046.93</v>
      </c>
    </row>
    <row r="123" spans="1:14" ht="15.75" x14ac:dyDescent="0.25">
      <c r="A123" s="26" t="str">
        <f>CONCATENATE("ТР 3130-",H123,", НП 1/2")</f>
        <v>ТР 3130-10, НП 1/2</v>
      </c>
      <c r="B123" s="27">
        <v>1305</v>
      </c>
      <c r="C123" s="27">
        <v>1230</v>
      </c>
      <c r="D123" s="28">
        <v>3.5</v>
      </c>
      <c r="E123" s="28">
        <v>201</v>
      </c>
      <c r="F123" s="28">
        <v>2617.8460000000005</v>
      </c>
      <c r="G123" s="58"/>
      <c r="H123" s="29">
        <v>10</v>
      </c>
      <c r="I123" s="30">
        <f t="shared" si="28"/>
        <v>35</v>
      </c>
      <c r="J123" s="30">
        <f t="shared" si="29"/>
        <v>2010</v>
      </c>
      <c r="K123" s="31">
        <f t="shared" si="26"/>
        <v>31178.460000000006</v>
      </c>
      <c r="L123" s="31">
        <f t="shared" si="30"/>
        <v>0</v>
      </c>
      <c r="M123" s="31">
        <f t="shared" si="27"/>
        <v>31178.460000000006</v>
      </c>
      <c r="N123" s="31">
        <f t="shared" si="31"/>
        <v>35105.229000000007</v>
      </c>
    </row>
    <row r="124" spans="1:14" ht="15.75" x14ac:dyDescent="0.25">
      <c r="A124" s="2" t="str">
        <f>CONCATENATE("ТР 3140-",H124,", НП 1/2")</f>
        <v>ТР 3140-10, НП 1/2</v>
      </c>
      <c r="B124" s="1">
        <v>1405</v>
      </c>
      <c r="C124" s="1">
        <v>1330</v>
      </c>
      <c r="D124" s="10">
        <v>3.7</v>
      </c>
      <c r="E124" s="10">
        <v>214</v>
      </c>
      <c r="F124" s="10">
        <v>2670.7120000000004</v>
      </c>
      <c r="G124" s="58"/>
      <c r="H124" s="11">
        <v>10</v>
      </c>
      <c r="I124" s="8">
        <f t="shared" si="28"/>
        <v>37</v>
      </c>
      <c r="J124" s="8">
        <f t="shared" si="29"/>
        <v>2140</v>
      </c>
      <c r="K124" s="3">
        <f t="shared" si="26"/>
        <v>31707.120000000003</v>
      </c>
      <c r="L124" s="3">
        <f t="shared" si="30"/>
        <v>0</v>
      </c>
      <c r="M124" s="3">
        <f t="shared" si="27"/>
        <v>31707.120000000003</v>
      </c>
      <c r="N124" s="3">
        <f t="shared" si="31"/>
        <v>35713.188000000002</v>
      </c>
    </row>
    <row r="125" spans="1:14" ht="15.75" x14ac:dyDescent="0.25">
      <c r="A125" s="26" t="str">
        <f>CONCATENATE("ТР 3150-",H125,", НП 1/2")</f>
        <v>ТР 3150-10, НП 1/2</v>
      </c>
      <c r="B125" s="27">
        <v>1505</v>
      </c>
      <c r="C125" s="27">
        <v>1430</v>
      </c>
      <c r="D125" s="28">
        <v>3.9</v>
      </c>
      <c r="E125" s="28">
        <v>226</v>
      </c>
      <c r="F125" s="28">
        <v>3619.4400000000005</v>
      </c>
      <c r="G125" s="58"/>
      <c r="H125" s="29">
        <v>10</v>
      </c>
      <c r="I125" s="30">
        <f t="shared" si="28"/>
        <v>39</v>
      </c>
      <c r="J125" s="30">
        <f t="shared" si="29"/>
        <v>2260</v>
      </c>
      <c r="K125" s="31">
        <f t="shared" si="26"/>
        <v>41194.400000000009</v>
      </c>
      <c r="L125" s="31">
        <f t="shared" si="30"/>
        <v>0</v>
      </c>
      <c r="M125" s="31">
        <f t="shared" si="27"/>
        <v>41194.400000000009</v>
      </c>
      <c r="N125" s="31">
        <f t="shared" si="31"/>
        <v>46623.560000000005</v>
      </c>
    </row>
    <row r="126" spans="1:14" ht="15.75" x14ac:dyDescent="0.25">
      <c r="A126" s="2" t="str">
        <f>CONCATENATE("ТР 3160-",H126,", НП 1/2")</f>
        <v>ТР 3160-10, НП 1/2</v>
      </c>
      <c r="B126" s="1">
        <v>1605</v>
      </c>
      <c r="C126" s="1">
        <v>1530</v>
      </c>
      <c r="D126" s="10">
        <v>4.2</v>
      </c>
      <c r="E126" s="10">
        <v>241</v>
      </c>
      <c r="F126" s="10">
        <v>3669.6000000000004</v>
      </c>
      <c r="G126" s="58"/>
      <c r="H126" s="11">
        <v>10</v>
      </c>
      <c r="I126" s="8">
        <f t="shared" si="28"/>
        <v>42</v>
      </c>
      <c r="J126" s="8">
        <f t="shared" si="29"/>
        <v>2410</v>
      </c>
      <c r="K126" s="3">
        <f t="shared" si="26"/>
        <v>41696</v>
      </c>
      <c r="L126" s="3">
        <f t="shared" si="30"/>
        <v>0</v>
      </c>
      <c r="M126" s="3">
        <f t="shared" si="27"/>
        <v>41696</v>
      </c>
      <c r="N126" s="3">
        <f t="shared" si="31"/>
        <v>47200.399999999994</v>
      </c>
    </row>
    <row r="127" spans="1:14" ht="15.75" x14ac:dyDescent="0.25">
      <c r="A127" s="26" t="str">
        <f>CONCATENATE("ТР 3170-",H127,", НП 1/2")</f>
        <v>ТР 3170-10, НП 1/2</v>
      </c>
      <c r="B127" s="27">
        <v>1705</v>
      </c>
      <c r="C127" s="27">
        <v>1630</v>
      </c>
      <c r="D127" s="28">
        <v>4.5</v>
      </c>
      <c r="E127" s="28">
        <v>255</v>
      </c>
      <c r="F127" s="28">
        <v>3880.8</v>
      </c>
      <c r="G127" s="58"/>
      <c r="H127" s="29">
        <v>10</v>
      </c>
      <c r="I127" s="30">
        <f t="shared" si="28"/>
        <v>45</v>
      </c>
      <c r="J127" s="30">
        <f t="shared" si="29"/>
        <v>2550</v>
      </c>
      <c r="K127" s="31">
        <f t="shared" si="26"/>
        <v>43808</v>
      </c>
      <c r="L127" s="31">
        <f t="shared" si="30"/>
        <v>0</v>
      </c>
      <c r="M127" s="31">
        <f t="shared" si="27"/>
        <v>43808</v>
      </c>
      <c r="N127" s="31">
        <f t="shared" si="31"/>
        <v>49629.2</v>
      </c>
    </row>
    <row r="128" spans="1:14" ht="15.75" x14ac:dyDescent="0.25">
      <c r="A128" s="2" t="str">
        <f>CONCATENATE("ТР 3180-",H128,", НП 1/2")</f>
        <v>ТР 3180-10, НП 1/2</v>
      </c>
      <c r="B128" s="1">
        <v>1805</v>
      </c>
      <c r="C128" s="1">
        <v>1730</v>
      </c>
      <c r="D128" s="10">
        <v>4.5999999999999996</v>
      </c>
      <c r="E128" s="10">
        <v>267</v>
      </c>
      <c r="F128" s="10">
        <v>4084.08</v>
      </c>
      <c r="G128" s="58"/>
      <c r="H128" s="11">
        <v>10</v>
      </c>
      <c r="I128" s="8">
        <f t="shared" si="28"/>
        <v>46</v>
      </c>
      <c r="J128" s="8">
        <f t="shared" si="29"/>
        <v>2670</v>
      </c>
      <c r="K128" s="3">
        <f t="shared" si="26"/>
        <v>45840.800000000003</v>
      </c>
      <c r="L128" s="3">
        <f t="shared" si="30"/>
        <v>0</v>
      </c>
      <c r="M128" s="3">
        <f t="shared" si="27"/>
        <v>45840.800000000003</v>
      </c>
      <c r="N128" s="3">
        <f t="shared" si="31"/>
        <v>51966.92</v>
      </c>
    </row>
    <row r="129" spans="1:14" ht="6.95" customHeight="1" x14ac:dyDescent="0.25">
      <c r="A129" s="20"/>
      <c r="B129" s="37"/>
      <c r="C129" s="37"/>
      <c r="D129" s="45"/>
      <c r="E129" s="45"/>
      <c r="F129" s="45"/>
      <c r="G129" s="45"/>
      <c r="H129" s="46"/>
      <c r="I129" s="47"/>
      <c r="J129" s="47"/>
      <c r="K129" s="48"/>
      <c r="L129" s="48"/>
      <c r="M129" s="48"/>
      <c r="N129" s="48"/>
    </row>
    <row r="130" spans="1:14" s="49" customFormat="1" ht="12.75" x14ac:dyDescent="0.2">
      <c r="A130" s="49" t="s">
        <v>21</v>
      </c>
      <c r="D130" s="50"/>
      <c r="E130" s="50"/>
      <c r="F130" s="50"/>
      <c r="G130" s="50"/>
      <c r="H130" s="51"/>
      <c r="I130" s="51"/>
      <c r="J130" s="51"/>
      <c r="K130" s="52"/>
      <c r="L130" s="52"/>
      <c r="M130" s="52"/>
      <c r="N130" s="52"/>
    </row>
    <row r="131" spans="1:14" s="53" customFormat="1" ht="12.75" x14ac:dyDescent="0.2">
      <c r="A131" s="49" t="s">
        <v>15</v>
      </c>
      <c r="D131" s="54"/>
      <c r="E131" s="54"/>
      <c r="F131" s="54"/>
      <c r="G131" s="54"/>
      <c r="H131" s="55"/>
      <c r="I131" s="55"/>
      <c r="J131" s="55"/>
      <c r="K131" s="56"/>
      <c r="L131" s="56"/>
      <c r="M131" s="56"/>
      <c r="N131" s="56"/>
    </row>
    <row r="133" spans="1:14" ht="23.25" x14ac:dyDescent="0.25">
      <c r="A133" s="43" t="s">
        <v>25</v>
      </c>
    </row>
    <row r="134" spans="1:14" s="20" customFormat="1" x14ac:dyDescent="0.25">
      <c r="C134" s="21"/>
      <c r="D134" s="22"/>
      <c r="E134" s="22"/>
      <c r="F134" s="22"/>
      <c r="G134" s="22"/>
      <c r="H134" s="23"/>
      <c r="I134" s="23"/>
      <c r="J134" s="23"/>
      <c r="K134" s="23"/>
      <c r="L134" s="24">
        <v>0</v>
      </c>
      <c r="M134" s="23"/>
    </row>
    <row r="135" spans="1:14" s="25" customFormat="1" ht="45" customHeight="1" x14ac:dyDescent="0.25">
      <c r="A135" s="4" t="s">
        <v>2</v>
      </c>
      <c r="B135" s="4" t="s">
        <v>12</v>
      </c>
      <c r="C135" s="4" t="s">
        <v>1</v>
      </c>
      <c r="D135" s="9" t="s">
        <v>6</v>
      </c>
      <c r="E135" s="9" t="s">
        <v>8</v>
      </c>
      <c r="F135" s="9" t="s">
        <v>3</v>
      </c>
      <c r="G135" s="59" t="s">
        <v>20</v>
      </c>
      <c r="H135" s="60"/>
      <c r="I135" s="7" t="s">
        <v>5</v>
      </c>
      <c r="J135" s="7" t="s">
        <v>7</v>
      </c>
      <c r="K135" s="5" t="s">
        <v>0</v>
      </c>
      <c r="L135" s="6" t="s">
        <v>4</v>
      </c>
      <c r="M135" s="5" t="s">
        <v>13</v>
      </c>
      <c r="N135" s="5" t="s">
        <v>14</v>
      </c>
    </row>
    <row r="136" spans="1:14" ht="15.75" x14ac:dyDescent="0.25">
      <c r="A136" s="26" t="str">
        <f>CONCATENATE("ТР 3030-",H136,", НП 1/2, ТВ")</f>
        <v>ТР 3030-10, НП 1/2, ТВ</v>
      </c>
      <c r="B136" s="27">
        <v>305</v>
      </c>
      <c r="C136" s="27">
        <v>230</v>
      </c>
      <c r="D136" s="28">
        <v>0.95</v>
      </c>
      <c r="E136" s="28">
        <v>73</v>
      </c>
      <c r="F136" s="28">
        <v>1781.7800000000002</v>
      </c>
      <c r="G136" s="57" t="s">
        <v>18</v>
      </c>
      <c r="H136" s="29">
        <v>10</v>
      </c>
      <c r="I136" s="30">
        <f>D136*H136</f>
        <v>9.5</v>
      </c>
      <c r="J136" s="30">
        <f>E136*H136</f>
        <v>730</v>
      </c>
      <c r="K136" s="31">
        <f t="shared" ref="K136:K153" si="32">IF(H136=0,0,F136*H136+7000)</f>
        <v>24817.800000000003</v>
      </c>
      <c r="L136" s="31">
        <f>K136*$L$134/100</f>
        <v>0</v>
      </c>
      <c r="M136" s="31">
        <f t="shared" ref="M136:M153" si="33">K136-L136</f>
        <v>24817.800000000003</v>
      </c>
      <c r="N136" s="31">
        <f>IF(H136=0,0,F136*H136*1.15+7000-L136)</f>
        <v>27490.47</v>
      </c>
    </row>
    <row r="137" spans="1:14" ht="15.75" x14ac:dyDescent="0.25">
      <c r="A137" s="2" t="str">
        <f>CONCATENATE("ТР 3037-",H137,", НП 1/2, ТВ")</f>
        <v>ТР 3037-10, НП 1/2, ТВ</v>
      </c>
      <c r="B137" s="1">
        <v>375</v>
      </c>
      <c r="C137" s="1">
        <v>300</v>
      </c>
      <c r="D137" s="10">
        <v>1.2</v>
      </c>
      <c r="E137" s="10">
        <v>80</v>
      </c>
      <c r="F137" s="10">
        <v>1811.15</v>
      </c>
      <c r="G137" s="58"/>
      <c r="H137" s="11">
        <v>10</v>
      </c>
      <c r="I137" s="8">
        <f>D137*H137</f>
        <v>12</v>
      </c>
      <c r="J137" s="8">
        <f>E137*H137</f>
        <v>800</v>
      </c>
      <c r="K137" s="3">
        <f t="shared" si="32"/>
        <v>25111.5</v>
      </c>
      <c r="L137" s="3">
        <f>K137*$L$134/100</f>
        <v>0</v>
      </c>
      <c r="M137" s="3">
        <f t="shared" si="33"/>
        <v>25111.5</v>
      </c>
      <c r="N137" s="3">
        <f>IF(H137=0,0,F137*H137*1.15+7000-L137)</f>
        <v>27828.224999999999</v>
      </c>
    </row>
    <row r="138" spans="1:14" ht="15.75" x14ac:dyDescent="0.25">
      <c r="A138" s="26" t="str">
        <f>CONCATENATE("ТР 3040-",H138,", НП 1/2, ТВ")</f>
        <v>ТР 3040-10, НП 1/2, ТВ</v>
      </c>
      <c r="B138" s="27">
        <v>405</v>
      </c>
      <c r="C138" s="27">
        <v>330</v>
      </c>
      <c r="D138" s="28">
        <v>1.3</v>
      </c>
      <c r="E138" s="28">
        <v>86</v>
      </c>
      <c r="F138" s="28">
        <v>1854.2260000000003</v>
      </c>
      <c r="G138" s="58"/>
      <c r="H138" s="29">
        <v>10</v>
      </c>
      <c r="I138" s="30">
        <f t="shared" ref="I138:I153" si="34">D138*H138</f>
        <v>13</v>
      </c>
      <c r="J138" s="30">
        <f t="shared" ref="J138:J153" si="35">E138*H138</f>
        <v>860</v>
      </c>
      <c r="K138" s="31">
        <f t="shared" si="32"/>
        <v>25542.260000000002</v>
      </c>
      <c r="L138" s="31">
        <f t="shared" ref="L138:L153" si="36">K138*$L$134/100</f>
        <v>0</v>
      </c>
      <c r="M138" s="31">
        <f t="shared" si="33"/>
        <v>25542.260000000002</v>
      </c>
      <c r="N138" s="31">
        <f t="shared" ref="N138:N153" si="37">IF(H138=0,0,F138*H138*1.15+7000-L138)</f>
        <v>28323.599000000002</v>
      </c>
    </row>
    <row r="139" spans="1:14" ht="15.75" x14ac:dyDescent="0.25">
      <c r="A139" s="2" t="str">
        <f>CONCATENATE("ТР 3050-",H139,", НП 1/2, ТВ")</f>
        <v>ТР 3050-10, НП 1/2, ТВ</v>
      </c>
      <c r="B139" s="1">
        <v>505</v>
      </c>
      <c r="C139" s="1">
        <v>430</v>
      </c>
      <c r="D139" s="10">
        <v>1.4</v>
      </c>
      <c r="E139" s="10">
        <v>101</v>
      </c>
      <c r="F139" s="10">
        <v>1864.0160000000001</v>
      </c>
      <c r="G139" s="58"/>
      <c r="H139" s="11">
        <v>10</v>
      </c>
      <c r="I139" s="8">
        <f t="shared" si="34"/>
        <v>14</v>
      </c>
      <c r="J139" s="8">
        <f t="shared" si="35"/>
        <v>1010</v>
      </c>
      <c r="K139" s="3">
        <f t="shared" si="32"/>
        <v>25640.16</v>
      </c>
      <c r="L139" s="3">
        <f t="shared" si="36"/>
        <v>0</v>
      </c>
      <c r="M139" s="3">
        <f t="shared" si="33"/>
        <v>25640.16</v>
      </c>
      <c r="N139" s="3">
        <f t="shared" si="37"/>
        <v>28436.183999999997</v>
      </c>
    </row>
    <row r="140" spans="1:14" ht="15.75" x14ac:dyDescent="0.25">
      <c r="A140" s="26" t="str">
        <f>CONCATENATE("ТР 3057-",H140,", НП 1/2, ТВ")</f>
        <v>ТР 3057-10, НП 1/2, ТВ</v>
      </c>
      <c r="B140" s="27">
        <v>575</v>
      </c>
      <c r="C140" s="27">
        <v>500</v>
      </c>
      <c r="D140" s="28">
        <v>1.5</v>
      </c>
      <c r="E140" s="28">
        <v>108</v>
      </c>
      <c r="F140" s="28">
        <v>1899.2600000000002</v>
      </c>
      <c r="G140" s="58"/>
      <c r="H140" s="29">
        <v>10</v>
      </c>
      <c r="I140" s="30">
        <f t="shared" si="34"/>
        <v>15</v>
      </c>
      <c r="J140" s="30">
        <f t="shared" si="35"/>
        <v>1080</v>
      </c>
      <c r="K140" s="31">
        <f t="shared" si="32"/>
        <v>25992.600000000002</v>
      </c>
      <c r="L140" s="31">
        <f t="shared" si="36"/>
        <v>0</v>
      </c>
      <c r="M140" s="31">
        <f t="shared" si="33"/>
        <v>25992.600000000002</v>
      </c>
      <c r="N140" s="31">
        <f t="shared" si="37"/>
        <v>28841.49</v>
      </c>
    </row>
    <row r="141" spans="1:14" ht="15.75" x14ac:dyDescent="0.25">
      <c r="A141" s="2" t="str">
        <f>CONCATENATE("ТР 3060-",H141,", НП 1/2, ТВ")</f>
        <v>ТР 3060-10, НП 1/2, ТВ</v>
      </c>
      <c r="B141" s="1">
        <v>605</v>
      </c>
      <c r="C141" s="1">
        <v>530</v>
      </c>
      <c r="D141" s="10">
        <v>1.8</v>
      </c>
      <c r="E141" s="10">
        <v>116</v>
      </c>
      <c r="F141" s="10">
        <v>2004.9920000000002</v>
      </c>
      <c r="G141" s="58"/>
      <c r="H141" s="11">
        <v>10</v>
      </c>
      <c r="I141" s="8">
        <f t="shared" si="34"/>
        <v>18</v>
      </c>
      <c r="J141" s="8">
        <f t="shared" si="35"/>
        <v>1160</v>
      </c>
      <c r="K141" s="3">
        <f t="shared" si="32"/>
        <v>27049.920000000002</v>
      </c>
      <c r="L141" s="3">
        <f t="shared" si="36"/>
        <v>0</v>
      </c>
      <c r="M141" s="3">
        <f t="shared" si="33"/>
        <v>27049.920000000002</v>
      </c>
      <c r="N141" s="3">
        <f t="shared" si="37"/>
        <v>30057.407999999999</v>
      </c>
    </row>
    <row r="142" spans="1:14" ht="15.75" x14ac:dyDescent="0.25">
      <c r="A142" s="26" t="str">
        <f>CONCATENATE("ТР 3070-",H142,", НП 1/2, ТВ")</f>
        <v>ТР 3070-10, НП 1/2, ТВ</v>
      </c>
      <c r="B142" s="27">
        <v>705</v>
      </c>
      <c r="C142" s="27">
        <v>630</v>
      </c>
      <c r="D142" s="28">
        <v>2.2000000000000002</v>
      </c>
      <c r="E142" s="28">
        <v>131</v>
      </c>
      <c r="F142" s="28">
        <v>2089.1860000000001</v>
      </c>
      <c r="G142" s="58"/>
      <c r="H142" s="29">
        <v>10</v>
      </c>
      <c r="I142" s="30">
        <f t="shared" si="34"/>
        <v>22</v>
      </c>
      <c r="J142" s="30">
        <f t="shared" si="35"/>
        <v>1310</v>
      </c>
      <c r="K142" s="31">
        <f t="shared" si="32"/>
        <v>27891.86</v>
      </c>
      <c r="L142" s="31">
        <f t="shared" si="36"/>
        <v>0</v>
      </c>
      <c r="M142" s="31">
        <f t="shared" si="33"/>
        <v>27891.86</v>
      </c>
      <c r="N142" s="31">
        <f t="shared" si="37"/>
        <v>31025.638999999999</v>
      </c>
    </row>
    <row r="143" spans="1:14" ht="15.75" x14ac:dyDescent="0.25">
      <c r="A143" s="2" t="str">
        <f>CONCATENATE("ТР 3080-",H143,", НП 1/2, ТВ")</f>
        <v>ТР 3080-10, НП 1/2, ТВ</v>
      </c>
      <c r="B143" s="1">
        <v>805</v>
      </c>
      <c r="C143" s="1">
        <v>730</v>
      </c>
      <c r="D143" s="10">
        <v>2.4</v>
      </c>
      <c r="E143" s="10">
        <v>142</v>
      </c>
      <c r="F143" s="10">
        <v>2155.7580000000003</v>
      </c>
      <c r="G143" s="58"/>
      <c r="H143" s="11">
        <v>10</v>
      </c>
      <c r="I143" s="8">
        <f t="shared" si="34"/>
        <v>24</v>
      </c>
      <c r="J143" s="8">
        <f t="shared" si="35"/>
        <v>1420</v>
      </c>
      <c r="K143" s="3">
        <f t="shared" si="32"/>
        <v>28557.58</v>
      </c>
      <c r="L143" s="3">
        <f t="shared" si="36"/>
        <v>0</v>
      </c>
      <c r="M143" s="3">
        <f t="shared" si="33"/>
        <v>28557.58</v>
      </c>
      <c r="N143" s="3">
        <f t="shared" si="37"/>
        <v>31791.217000000001</v>
      </c>
    </row>
    <row r="144" spans="1:14" ht="15.75" x14ac:dyDescent="0.25">
      <c r="A144" s="26" t="str">
        <f>CONCATENATE("ТР 3090-",H144,", НП 1/2, ТВ")</f>
        <v>ТР 3090-10, НП 1/2, ТВ</v>
      </c>
      <c r="B144" s="27">
        <v>905</v>
      </c>
      <c r="C144" s="27">
        <v>830</v>
      </c>
      <c r="D144" s="28">
        <v>2.6</v>
      </c>
      <c r="E144" s="28">
        <v>155</v>
      </c>
      <c r="F144" s="28">
        <v>2228.2040000000002</v>
      </c>
      <c r="G144" s="58"/>
      <c r="H144" s="29">
        <v>10</v>
      </c>
      <c r="I144" s="30">
        <f t="shared" si="34"/>
        <v>26</v>
      </c>
      <c r="J144" s="30">
        <f t="shared" si="35"/>
        <v>1550</v>
      </c>
      <c r="K144" s="31">
        <f t="shared" si="32"/>
        <v>29282.04</v>
      </c>
      <c r="L144" s="31">
        <f t="shared" si="36"/>
        <v>0</v>
      </c>
      <c r="M144" s="31">
        <f t="shared" si="33"/>
        <v>29282.04</v>
      </c>
      <c r="N144" s="31">
        <f t="shared" si="37"/>
        <v>32624.345999999998</v>
      </c>
    </row>
    <row r="145" spans="1:14" ht="15.75" x14ac:dyDescent="0.25">
      <c r="A145" s="2" t="str">
        <f>CONCATENATE("ТР 3100-",H145,", НП 1/2, ТВ")</f>
        <v>ТР 3100-10, НП 1/2, ТВ</v>
      </c>
      <c r="B145" s="1">
        <v>1005</v>
      </c>
      <c r="C145" s="1">
        <v>930</v>
      </c>
      <c r="D145" s="10">
        <v>2.8</v>
      </c>
      <c r="E145" s="10">
        <v>167</v>
      </c>
      <c r="F145" s="10">
        <v>2324.1460000000002</v>
      </c>
      <c r="G145" s="58"/>
      <c r="H145" s="11">
        <v>10</v>
      </c>
      <c r="I145" s="8">
        <f t="shared" si="34"/>
        <v>28</v>
      </c>
      <c r="J145" s="8">
        <f t="shared" si="35"/>
        <v>1670</v>
      </c>
      <c r="K145" s="3">
        <f t="shared" si="32"/>
        <v>30241.460000000003</v>
      </c>
      <c r="L145" s="3">
        <f t="shared" si="36"/>
        <v>0</v>
      </c>
      <c r="M145" s="3">
        <f t="shared" si="33"/>
        <v>30241.460000000003</v>
      </c>
      <c r="N145" s="3">
        <f t="shared" si="37"/>
        <v>33727.679000000004</v>
      </c>
    </row>
    <row r="146" spans="1:14" ht="15.75" x14ac:dyDescent="0.25">
      <c r="A146" s="26" t="str">
        <f>CONCATENATE("ТР 3110-",H146,", НП 1/2, ТВ")</f>
        <v>ТР 3110-10, НП 1/2, ТВ</v>
      </c>
      <c r="B146" s="27">
        <v>1105</v>
      </c>
      <c r="C146" s="27">
        <v>1030</v>
      </c>
      <c r="D146" s="28">
        <v>3</v>
      </c>
      <c r="E146" s="28">
        <v>179</v>
      </c>
      <c r="F146" s="28">
        <v>2388.7600000000002</v>
      </c>
      <c r="G146" s="57" t="s">
        <v>19</v>
      </c>
      <c r="H146" s="29">
        <v>10</v>
      </c>
      <c r="I146" s="30">
        <f t="shared" si="34"/>
        <v>30</v>
      </c>
      <c r="J146" s="30">
        <f t="shared" si="35"/>
        <v>1790</v>
      </c>
      <c r="K146" s="31">
        <f t="shared" si="32"/>
        <v>30887.600000000002</v>
      </c>
      <c r="L146" s="31">
        <f t="shared" si="36"/>
        <v>0</v>
      </c>
      <c r="M146" s="31">
        <f t="shared" si="33"/>
        <v>30887.600000000002</v>
      </c>
      <c r="N146" s="31">
        <f t="shared" si="37"/>
        <v>34470.740000000005</v>
      </c>
    </row>
    <row r="147" spans="1:14" ht="15.75" x14ac:dyDescent="0.25">
      <c r="A147" s="2" t="str">
        <f>CONCATENATE("ТР 3120-",H147,", НП 1/2, ТВ")</f>
        <v>ТР 3120-10, НП 1/2, ТВ</v>
      </c>
      <c r="B147" s="1">
        <v>1205</v>
      </c>
      <c r="C147" s="1">
        <v>1130</v>
      </c>
      <c r="D147" s="10">
        <v>3.3</v>
      </c>
      <c r="E147" s="10">
        <v>187</v>
      </c>
      <c r="F147" s="10">
        <v>2525.8200000000002</v>
      </c>
      <c r="G147" s="58"/>
      <c r="H147" s="11">
        <v>10</v>
      </c>
      <c r="I147" s="8">
        <f t="shared" si="34"/>
        <v>33</v>
      </c>
      <c r="J147" s="8">
        <f t="shared" si="35"/>
        <v>1870</v>
      </c>
      <c r="K147" s="3">
        <f t="shared" si="32"/>
        <v>32258.2</v>
      </c>
      <c r="L147" s="3">
        <f t="shared" si="36"/>
        <v>0</v>
      </c>
      <c r="M147" s="3">
        <f t="shared" si="33"/>
        <v>32258.2</v>
      </c>
      <c r="N147" s="3">
        <f t="shared" si="37"/>
        <v>36046.93</v>
      </c>
    </row>
    <row r="148" spans="1:14" ht="15.75" x14ac:dyDescent="0.25">
      <c r="A148" s="26" t="str">
        <f>CONCATENATE("ТР 3130-",H148,", НП 1/2, ТВ")</f>
        <v>ТР 3130-10, НП 1/2, ТВ</v>
      </c>
      <c r="B148" s="27">
        <v>1305</v>
      </c>
      <c r="C148" s="27">
        <v>1230</v>
      </c>
      <c r="D148" s="28">
        <v>3.5</v>
      </c>
      <c r="E148" s="28">
        <v>201</v>
      </c>
      <c r="F148" s="28">
        <v>2617.8460000000005</v>
      </c>
      <c r="G148" s="58"/>
      <c r="H148" s="29">
        <v>10</v>
      </c>
      <c r="I148" s="30">
        <f t="shared" si="34"/>
        <v>35</v>
      </c>
      <c r="J148" s="30">
        <f t="shared" si="35"/>
        <v>2010</v>
      </c>
      <c r="K148" s="31">
        <f t="shared" si="32"/>
        <v>33178.460000000006</v>
      </c>
      <c r="L148" s="31">
        <f t="shared" si="36"/>
        <v>0</v>
      </c>
      <c r="M148" s="31">
        <f t="shared" si="33"/>
        <v>33178.460000000006</v>
      </c>
      <c r="N148" s="31">
        <f t="shared" si="37"/>
        <v>37105.229000000007</v>
      </c>
    </row>
    <row r="149" spans="1:14" ht="15.75" x14ac:dyDescent="0.25">
      <c r="A149" s="2" t="str">
        <f>CONCATENATE("ТР 3140-",H149,", НП 1/2, ТВ")</f>
        <v>ТР 3140-10, НП 1/2, ТВ</v>
      </c>
      <c r="B149" s="1">
        <v>1405</v>
      </c>
      <c r="C149" s="1">
        <v>1330</v>
      </c>
      <c r="D149" s="10">
        <v>3.7</v>
      </c>
      <c r="E149" s="10">
        <v>214</v>
      </c>
      <c r="F149" s="10">
        <v>2670.7120000000004</v>
      </c>
      <c r="G149" s="58"/>
      <c r="H149" s="11">
        <v>10</v>
      </c>
      <c r="I149" s="8">
        <f t="shared" si="34"/>
        <v>37</v>
      </c>
      <c r="J149" s="8">
        <f t="shared" si="35"/>
        <v>2140</v>
      </c>
      <c r="K149" s="3">
        <f t="shared" si="32"/>
        <v>33707.120000000003</v>
      </c>
      <c r="L149" s="3">
        <f t="shared" si="36"/>
        <v>0</v>
      </c>
      <c r="M149" s="3">
        <f t="shared" si="33"/>
        <v>33707.120000000003</v>
      </c>
      <c r="N149" s="3">
        <f t="shared" si="37"/>
        <v>37713.188000000002</v>
      </c>
    </row>
    <row r="150" spans="1:14" ht="15.75" x14ac:dyDescent="0.25">
      <c r="A150" s="26" t="str">
        <f>CONCATENATE("ТР 3150-",H150,", НП 1/2, ТВ")</f>
        <v>ТР 3150-10, НП 1/2, ТВ</v>
      </c>
      <c r="B150" s="27">
        <v>1505</v>
      </c>
      <c r="C150" s="27">
        <v>1430</v>
      </c>
      <c r="D150" s="28">
        <v>3.9</v>
      </c>
      <c r="E150" s="28">
        <v>226</v>
      </c>
      <c r="F150" s="28">
        <v>3619.4400000000005</v>
      </c>
      <c r="G150" s="58"/>
      <c r="H150" s="29">
        <v>10</v>
      </c>
      <c r="I150" s="30">
        <f t="shared" si="34"/>
        <v>39</v>
      </c>
      <c r="J150" s="30">
        <f t="shared" si="35"/>
        <v>2260</v>
      </c>
      <c r="K150" s="31">
        <f t="shared" si="32"/>
        <v>43194.400000000009</v>
      </c>
      <c r="L150" s="31">
        <f t="shared" si="36"/>
        <v>0</v>
      </c>
      <c r="M150" s="31">
        <f t="shared" si="33"/>
        <v>43194.400000000009</v>
      </c>
      <c r="N150" s="31">
        <f t="shared" si="37"/>
        <v>48623.560000000005</v>
      </c>
    </row>
    <row r="151" spans="1:14" ht="15.75" x14ac:dyDescent="0.25">
      <c r="A151" s="2" t="str">
        <f>CONCATENATE("ТР 3160-",H151,", НП 1/2, ТВ")</f>
        <v>ТР 3160-10, НП 1/2, ТВ</v>
      </c>
      <c r="B151" s="1">
        <v>1605</v>
      </c>
      <c r="C151" s="1">
        <v>1530</v>
      </c>
      <c r="D151" s="10">
        <v>4.2</v>
      </c>
      <c r="E151" s="10">
        <v>241</v>
      </c>
      <c r="F151" s="10">
        <v>3669.6000000000004</v>
      </c>
      <c r="G151" s="58"/>
      <c r="H151" s="11">
        <v>10</v>
      </c>
      <c r="I151" s="8">
        <f t="shared" si="34"/>
        <v>42</v>
      </c>
      <c r="J151" s="8">
        <f t="shared" si="35"/>
        <v>2410</v>
      </c>
      <c r="K151" s="3">
        <f t="shared" si="32"/>
        <v>43696</v>
      </c>
      <c r="L151" s="3">
        <f t="shared" si="36"/>
        <v>0</v>
      </c>
      <c r="M151" s="3">
        <f t="shared" si="33"/>
        <v>43696</v>
      </c>
      <c r="N151" s="3">
        <f t="shared" si="37"/>
        <v>49200.399999999994</v>
      </c>
    </row>
    <row r="152" spans="1:14" ht="15.75" x14ac:dyDescent="0.25">
      <c r="A152" s="26" t="str">
        <f>CONCATENATE("ТР 3170-",H152,", НП 1/2, ТВ")</f>
        <v>ТР 3170-10, НП 1/2, ТВ</v>
      </c>
      <c r="B152" s="27">
        <v>1705</v>
      </c>
      <c r="C152" s="27">
        <v>1630</v>
      </c>
      <c r="D152" s="28">
        <v>4.5</v>
      </c>
      <c r="E152" s="28">
        <v>255</v>
      </c>
      <c r="F152" s="28">
        <v>3880.8</v>
      </c>
      <c r="G152" s="58"/>
      <c r="H152" s="29">
        <v>10</v>
      </c>
      <c r="I152" s="30">
        <f t="shared" si="34"/>
        <v>45</v>
      </c>
      <c r="J152" s="30">
        <f t="shared" si="35"/>
        <v>2550</v>
      </c>
      <c r="K152" s="31">
        <f t="shared" si="32"/>
        <v>45808</v>
      </c>
      <c r="L152" s="31">
        <f t="shared" si="36"/>
        <v>0</v>
      </c>
      <c r="M152" s="31">
        <f t="shared" si="33"/>
        <v>45808</v>
      </c>
      <c r="N152" s="31">
        <f t="shared" si="37"/>
        <v>51629.2</v>
      </c>
    </row>
    <row r="153" spans="1:14" ht="15.75" x14ac:dyDescent="0.25">
      <c r="A153" s="2" t="str">
        <f>CONCATENATE("ТР 3180-",H153,", НП 1/2, ТВ")</f>
        <v>ТР 3180-10, НП 1/2, ТВ</v>
      </c>
      <c r="B153" s="1">
        <v>1805</v>
      </c>
      <c r="C153" s="1">
        <v>1730</v>
      </c>
      <c r="D153" s="10">
        <v>4.5999999999999996</v>
      </c>
      <c r="E153" s="10">
        <v>267</v>
      </c>
      <c r="F153" s="10">
        <v>4084.08</v>
      </c>
      <c r="G153" s="58"/>
      <c r="H153" s="11">
        <v>10</v>
      </c>
      <c r="I153" s="8">
        <f t="shared" si="34"/>
        <v>46</v>
      </c>
      <c r="J153" s="8">
        <f t="shared" si="35"/>
        <v>2670</v>
      </c>
      <c r="K153" s="3">
        <f t="shared" si="32"/>
        <v>47840.800000000003</v>
      </c>
      <c r="L153" s="3">
        <f t="shared" si="36"/>
        <v>0</v>
      </c>
      <c r="M153" s="3">
        <f t="shared" si="33"/>
        <v>47840.800000000003</v>
      </c>
      <c r="N153" s="3">
        <f t="shared" si="37"/>
        <v>53966.92</v>
      </c>
    </row>
    <row r="154" spans="1:14" ht="6.95" customHeight="1" x14ac:dyDescent="0.25">
      <c r="A154" s="20"/>
      <c r="B154" s="37"/>
      <c r="C154" s="37"/>
      <c r="D154" s="45"/>
      <c r="E154" s="45"/>
      <c r="F154" s="45"/>
      <c r="G154" s="45"/>
      <c r="H154" s="46"/>
      <c r="I154" s="47"/>
      <c r="J154" s="47"/>
      <c r="K154" s="48"/>
      <c r="L154" s="48"/>
      <c r="M154" s="48"/>
      <c r="N154" s="48"/>
    </row>
    <row r="155" spans="1:14" s="49" customFormat="1" ht="12.75" x14ac:dyDescent="0.2">
      <c r="A155" s="49" t="s">
        <v>21</v>
      </c>
      <c r="D155" s="50"/>
      <c r="E155" s="50"/>
      <c r="F155" s="50"/>
      <c r="G155" s="50"/>
      <c r="H155" s="51"/>
      <c r="I155" s="51"/>
      <c r="J155" s="51"/>
      <c r="K155" s="52"/>
      <c r="L155" s="52"/>
      <c r="M155" s="52"/>
      <c r="N155" s="52"/>
    </row>
    <row r="156" spans="1:14" s="53" customFormat="1" ht="12.75" x14ac:dyDescent="0.2">
      <c r="A156" s="49" t="s">
        <v>15</v>
      </c>
      <c r="D156" s="54"/>
      <c r="E156" s="54"/>
      <c r="F156" s="54"/>
      <c r="G156" s="54"/>
      <c r="H156" s="55"/>
      <c r="I156" s="55"/>
      <c r="J156" s="55"/>
      <c r="K156" s="56"/>
      <c r="L156" s="56"/>
      <c r="M156" s="56"/>
      <c r="N156" s="56"/>
    </row>
  </sheetData>
  <mergeCells count="18">
    <mergeCell ref="G46:G53"/>
    <mergeCell ref="G11:G20"/>
    <mergeCell ref="G21:G28"/>
    <mergeCell ref="G10:H10"/>
    <mergeCell ref="G35:H35"/>
    <mergeCell ref="G36:G45"/>
    <mergeCell ref="G146:G153"/>
    <mergeCell ref="G60:H60"/>
    <mergeCell ref="G61:G70"/>
    <mergeCell ref="G71:G78"/>
    <mergeCell ref="G85:H85"/>
    <mergeCell ref="G86:G95"/>
    <mergeCell ref="G96:G103"/>
    <mergeCell ref="G110:H110"/>
    <mergeCell ref="G111:G120"/>
    <mergeCell ref="G121:G128"/>
    <mergeCell ref="G135:H135"/>
    <mergeCell ref="G136:G145"/>
  </mergeCells>
  <hyperlinks>
    <hyperlink ref="L6" r:id="rId1"/>
  </hyperlinks>
  <pageMargins left="0.7" right="0.7" top="0.75" bottom="0.75" header="0.3" footer="0.3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Цены</vt:lpstr>
      <vt:lpstr>Калькулятор</vt:lpstr>
      <vt:lpstr>Калькулятор!Область_печати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2024-08-09T06:26:23Z</dcterms:created>
  <dcterms:modified xsi:type="dcterms:W3CDTF">2024-10-23T11:12:56Z</dcterms:modified>
</cp:coreProperties>
</file>